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bookViews>
    <workbookView xWindow="0" yWindow="0" windowWidth="20490" windowHeight="7755" firstSheet="25" activeTab="31"/>
  </bookViews>
  <sheets>
    <sheet name="Sheet1" sheetId="1" r:id="rId1"/>
    <sheet name="02-06-21" sheetId="2" r:id="rId2"/>
    <sheet name="09-08-21" sheetId="3" r:id="rId3"/>
    <sheet name="LCL 20-09-21" sheetId="4" r:id="rId4"/>
    <sheet name="26-10-21 FCL" sheetId="5" r:id="rId5"/>
    <sheet name="LCL 19-11-21" sheetId="6" r:id="rId6"/>
    <sheet name="FCL 15-01-22" sheetId="7" r:id="rId7"/>
    <sheet name="FCL 25-02-22" sheetId="8" r:id="rId8"/>
    <sheet name="LCL 26-03-22" sheetId="9" r:id="rId9"/>
    <sheet name="FCL 12-04-22" sheetId="10" r:id="rId10"/>
    <sheet name="01-07-22" sheetId="11" r:id="rId11"/>
    <sheet name="24-08-22" sheetId="12" r:id="rId12"/>
    <sheet name="15-11-22" sheetId="13" r:id="rId13"/>
    <sheet name="10-01-23" sheetId="14" r:id="rId14"/>
    <sheet name="20-02-23" sheetId="15" r:id="rId15"/>
    <sheet name="17-4-23" sheetId="16" r:id="rId16"/>
    <sheet name="25-05-23" sheetId="17" r:id="rId17"/>
    <sheet name="03-07-23" sheetId="18" r:id="rId18"/>
    <sheet name="20-9-23" sheetId="19" r:id="rId19"/>
    <sheet name="7-10-23" sheetId="20" r:id="rId20"/>
    <sheet name="20-11-23" sheetId="21" r:id="rId21"/>
    <sheet name="1-12-23" sheetId="22" r:id="rId22"/>
    <sheet name="12-12-23" sheetId="23" r:id="rId23"/>
    <sheet name="30-12-23" sheetId="24" r:id="rId24"/>
    <sheet name="1-1-24" sheetId="25" r:id="rId25"/>
    <sheet name="17-02-24" sheetId="26" r:id="rId26"/>
    <sheet name="28-02-24" sheetId="27" r:id="rId27"/>
    <sheet name="24-4-24" sheetId="28" r:id="rId28"/>
    <sheet name="09-05-24" sheetId="29" r:id="rId29"/>
    <sheet name="08-06-24" sheetId="30" r:id="rId30"/>
    <sheet name="Sheet3" sheetId="32" r:id="rId31"/>
    <sheet name="Sheet2" sheetId="34" r:id="rId32"/>
    <sheet name="Sheet2 (2)" sheetId="36" r:id="rId33"/>
  </sheets>
  <calcPr calcId="152511"/>
</workbook>
</file>

<file path=xl/calcChain.xml><?xml version="1.0" encoding="utf-8"?>
<calcChain xmlns="http://schemas.openxmlformats.org/spreadsheetml/2006/main">
  <c r="S3" i="34" l="1"/>
  <c r="R3" i="34"/>
  <c r="R4" i="34" s="1"/>
  <c r="S4" i="34"/>
  <c r="N3" i="34"/>
  <c r="Q4" i="34"/>
  <c r="P4" i="34"/>
  <c r="F3" i="34"/>
  <c r="T3" i="36"/>
  <c r="AH3" i="36"/>
  <c r="AI3" i="36"/>
  <c r="T4" i="36"/>
  <c r="Y3" i="36" s="1"/>
  <c r="Y27" i="36" s="1"/>
  <c r="AH4" i="36"/>
  <c r="AI4" i="36"/>
  <c r="T5" i="36"/>
  <c r="Y5" i="36" s="1"/>
  <c r="Z5" i="36" s="1"/>
  <c r="X5" i="36"/>
  <c r="AH5" i="36"/>
  <c r="AI5" i="36" s="1"/>
  <c r="T6" i="36"/>
  <c r="X6" i="36"/>
  <c r="AH6" i="36"/>
  <c r="AI6" i="36"/>
  <c r="T7" i="36"/>
  <c r="Y6" i="36" s="1"/>
  <c r="Z6" i="36" s="1"/>
  <c r="AH7" i="36"/>
  <c r="AI7" i="36"/>
  <c r="T8" i="36"/>
  <c r="AH8" i="36"/>
  <c r="AI8" i="36" s="1"/>
  <c r="T9" i="36"/>
  <c r="AH9" i="36"/>
  <c r="AI9" i="36"/>
  <c r="T10" i="36"/>
  <c r="AH10" i="36"/>
  <c r="AI10" i="36"/>
  <c r="T11" i="36"/>
  <c r="AH11" i="36"/>
  <c r="AI11" i="36"/>
  <c r="T12" i="36"/>
  <c r="AH12" i="36"/>
  <c r="AI12" i="36" s="1"/>
  <c r="T13" i="36"/>
  <c r="AH13" i="36"/>
  <c r="AI13" i="36"/>
  <c r="T14" i="36"/>
  <c r="X14" i="36"/>
  <c r="Y14" i="36"/>
  <c r="Z14" i="36"/>
  <c r="AH14" i="36"/>
  <c r="AI14" i="36"/>
  <c r="T15" i="36"/>
  <c r="AH15" i="36"/>
  <c r="AI15" i="36" s="1"/>
  <c r="T16" i="36"/>
  <c r="AH16" i="36"/>
  <c r="AI16" i="36"/>
  <c r="T17" i="36"/>
  <c r="AH17" i="36"/>
  <c r="AI17" i="36"/>
  <c r="T18" i="36"/>
  <c r="Y18" i="36" s="1"/>
  <c r="Z18" i="36" s="1"/>
  <c r="X18" i="36"/>
  <c r="AH18" i="36"/>
  <c r="AI18" i="36" s="1"/>
  <c r="T19" i="36"/>
  <c r="AH19" i="36"/>
  <c r="AI19" i="36"/>
  <c r="T20" i="36"/>
  <c r="AH20" i="36"/>
  <c r="AI20" i="36"/>
  <c r="T21" i="36"/>
  <c r="AH21" i="36"/>
  <c r="AI21" i="36"/>
  <c r="T22" i="36"/>
  <c r="AH22" i="36"/>
  <c r="AI22" i="36" s="1"/>
  <c r="T23" i="36"/>
  <c r="AH23" i="36"/>
  <c r="AI23" i="36"/>
  <c r="T24" i="36"/>
  <c r="AH24" i="36"/>
  <c r="AI24" i="36"/>
  <c r="T25" i="36"/>
  <c r="AH25" i="36"/>
  <c r="AI25" i="36"/>
  <c r="T26" i="36"/>
  <c r="AH26" i="36"/>
  <c r="AI26" i="36" s="1"/>
  <c r="N27" i="36"/>
  <c r="Q27" i="36"/>
  <c r="T27" i="36"/>
  <c r="U27" i="36"/>
  <c r="V27" i="36"/>
  <c r="X27" i="36"/>
  <c r="AA27" i="36"/>
  <c r="AB27" i="36"/>
  <c r="AG27" i="36"/>
  <c r="AI27" i="36" s="1"/>
  <c r="AH27" i="36"/>
  <c r="F3" i="36"/>
  <c r="H3" i="36"/>
  <c r="J3" i="36" s="1"/>
  <c r="F4" i="36"/>
  <c r="F5" i="36"/>
  <c r="J5" i="36"/>
  <c r="F6" i="36"/>
  <c r="H6" i="36"/>
  <c r="J6" i="36" s="1"/>
  <c r="F7" i="36"/>
  <c r="F8" i="36"/>
  <c r="F9" i="36"/>
  <c r="F10" i="36"/>
  <c r="F11" i="36"/>
  <c r="F12" i="36"/>
  <c r="F13" i="36"/>
  <c r="F14" i="36"/>
  <c r="H14" i="36"/>
  <c r="J14" i="36" s="1"/>
  <c r="K14" i="36" s="1"/>
  <c r="L14" i="36" s="1"/>
  <c r="F15" i="36"/>
  <c r="F16" i="36"/>
  <c r="F17" i="36"/>
  <c r="F18" i="36"/>
  <c r="H18" i="36"/>
  <c r="J18" i="36" s="1"/>
  <c r="F19" i="36"/>
  <c r="F20" i="36"/>
  <c r="F21" i="36"/>
  <c r="F22" i="36"/>
  <c r="H22" i="36"/>
  <c r="J22" i="36" s="1"/>
  <c r="F23" i="36"/>
  <c r="F24" i="36"/>
  <c r="F25" i="36"/>
  <c r="F26" i="36"/>
  <c r="G27" i="36"/>
  <c r="M27" i="36"/>
  <c r="C51" i="36"/>
  <c r="AG4" i="32"/>
  <c r="AG5" i="32"/>
  <c r="AG6" i="32"/>
  <c r="AG7" i="32"/>
  <c r="AH7" i="32" s="1"/>
  <c r="AG8" i="32"/>
  <c r="AG9" i="32"/>
  <c r="AG10" i="32"/>
  <c r="AG11" i="32"/>
  <c r="AH11" i="32" s="1"/>
  <c r="AG12" i="32"/>
  <c r="AG13" i="32"/>
  <c r="AG14" i="32"/>
  <c r="AG15" i="32"/>
  <c r="AH15" i="32" s="1"/>
  <c r="AG16" i="32"/>
  <c r="AG17" i="32"/>
  <c r="AG18" i="32"/>
  <c r="AG19" i="32"/>
  <c r="AH19" i="32" s="1"/>
  <c r="AG20" i="32"/>
  <c r="AG21" i="32"/>
  <c r="AG22" i="32"/>
  <c r="AG23" i="32"/>
  <c r="AH23" i="32" s="1"/>
  <c r="AG24" i="32"/>
  <c r="AG25" i="32"/>
  <c r="AG26" i="32"/>
  <c r="AG27" i="32"/>
  <c r="AH27" i="32" s="1"/>
  <c r="AG28" i="32"/>
  <c r="AG29" i="32"/>
  <c r="AG30" i="32"/>
  <c r="AG31" i="32"/>
  <c r="AH31" i="32" s="1"/>
  <c r="AG32" i="32"/>
  <c r="AG33" i="32"/>
  <c r="AG35" i="32"/>
  <c r="AH35" i="32" s="1"/>
  <c r="AG36" i="32"/>
  <c r="AG37" i="32"/>
  <c r="AG38" i="32"/>
  <c r="AG39" i="32"/>
  <c r="AH39" i="32" s="1"/>
  <c r="AG40" i="32"/>
  <c r="AG41" i="32"/>
  <c r="AG42" i="32"/>
  <c r="AG43" i="32"/>
  <c r="AH43" i="32" s="1"/>
  <c r="AG44" i="32"/>
  <c r="AG45" i="32"/>
  <c r="AG46" i="32"/>
  <c r="AG47" i="32"/>
  <c r="AH47" i="32" s="1"/>
  <c r="AG48" i="32"/>
  <c r="AG49" i="32"/>
  <c r="AG50" i="32"/>
  <c r="AG3" i="32"/>
  <c r="C34" i="32"/>
  <c r="C35" i="32"/>
  <c r="F35" i="32" s="1"/>
  <c r="C36" i="32"/>
  <c r="F36" i="32" s="1"/>
  <c r="C37" i="32"/>
  <c r="C38" i="32"/>
  <c r="C39" i="32"/>
  <c r="C40" i="32"/>
  <c r="F40" i="32" s="1"/>
  <c r="C41" i="32"/>
  <c r="C42" i="32"/>
  <c r="C43" i="32"/>
  <c r="F43" i="32" s="1"/>
  <c r="C44" i="32"/>
  <c r="F44" i="32" s="1"/>
  <c r="C45" i="32"/>
  <c r="F45" i="32" s="1"/>
  <c r="C46" i="32"/>
  <c r="C47" i="32"/>
  <c r="F47" i="32" s="1"/>
  <c r="C48" i="32"/>
  <c r="F48" i="32" s="1"/>
  <c r="C49" i="32"/>
  <c r="F49" i="32" s="1"/>
  <c r="C50" i="32"/>
  <c r="T7" i="32"/>
  <c r="Q8" i="32"/>
  <c r="X6" i="32" s="1"/>
  <c r="Q9" i="32"/>
  <c r="T9" i="32" s="1"/>
  <c r="T11" i="32"/>
  <c r="T17" i="32"/>
  <c r="T19" i="32"/>
  <c r="Q21" i="32"/>
  <c r="Q24" i="32"/>
  <c r="X27" i="32"/>
  <c r="X31" i="32"/>
  <c r="Q32" i="32"/>
  <c r="Q33" i="32"/>
  <c r="C33" i="32" s="1"/>
  <c r="T15" i="32"/>
  <c r="T25" i="32"/>
  <c r="T33" i="32"/>
  <c r="AF51" i="32"/>
  <c r="AA51" i="32"/>
  <c r="AH4" i="32"/>
  <c r="AH5" i="32"/>
  <c r="AH6" i="32"/>
  <c r="AH8" i="32"/>
  <c r="AH9" i="32"/>
  <c r="AH10" i="32"/>
  <c r="AH12" i="32"/>
  <c r="AH13" i="32"/>
  <c r="AH14" i="32"/>
  <c r="AH16" i="32"/>
  <c r="AH17" i="32"/>
  <c r="AH18" i="32"/>
  <c r="AH20" i="32"/>
  <c r="AH21" i="32"/>
  <c r="AH22" i="32"/>
  <c r="AH24" i="32"/>
  <c r="AH25" i="32"/>
  <c r="AH26" i="32"/>
  <c r="AH28" i="32"/>
  <c r="AH29" i="32"/>
  <c r="AH30" i="32"/>
  <c r="AH32" i="32"/>
  <c r="AH33" i="32"/>
  <c r="AH36" i="32"/>
  <c r="AH37" i="32"/>
  <c r="AH38" i="32"/>
  <c r="AH40" i="32"/>
  <c r="AH41" i="32"/>
  <c r="AH42" i="32"/>
  <c r="AH44" i="32"/>
  <c r="AH45" i="32"/>
  <c r="AH46" i="32"/>
  <c r="AH48" i="32"/>
  <c r="AH49" i="32"/>
  <c r="AH50" i="32"/>
  <c r="T13" i="32"/>
  <c r="T27" i="32"/>
  <c r="T29" i="32"/>
  <c r="T35" i="32"/>
  <c r="V51" i="32"/>
  <c r="U51" i="32"/>
  <c r="T50" i="32"/>
  <c r="T49" i="32"/>
  <c r="T48" i="32"/>
  <c r="T47" i="32"/>
  <c r="T46" i="32"/>
  <c r="T45" i="32"/>
  <c r="T44" i="32"/>
  <c r="T43" i="32"/>
  <c r="T42" i="32"/>
  <c r="T41" i="32"/>
  <c r="T40" i="32"/>
  <c r="T39" i="32"/>
  <c r="T38" i="32"/>
  <c r="T37" i="32"/>
  <c r="T36" i="32"/>
  <c r="X35" i="32"/>
  <c r="T32" i="32"/>
  <c r="T30" i="32"/>
  <c r="T28" i="32"/>
  <c r="T26" i="32"/>
  <c r="T24" i="32"/>
  <c r="T20" i="32"/>
  <c r="T18" i="32"/>
  <c r="T16" i="32"/>
  <c r="T14" i="32"/>
  <c r="T12" i="32"/>
  <c r="T10" i="32"/>
  <c r="T8" i="32"/>
  <c r="T6" i="32"/>
  <c r="T5" i="32"/>
  <c r="T4" i="32"/>
  <c r="X3" i="32"/>
  <c r="N4" i="34"/>
  <c r="M4" i="34"/>
  <c r="G4" i="34"/>
  <c r="H3" i="34"/>
  <c r="J3" i="34" s="1"/>
  <c r="H51" i="32"/>
  <c r="G51" i="32"/>
  <c r="F50" i="32"/>
  <c r="F46" i="32"/>
  <c r="F42" i="32"/>
  <c r="F41" i="32"/>
  <c r="F39" i="32"/>
  <c r="F38" i="32"/>
  <c r="F37" i="32"/>
  <c r="J34" i="32"/>
  <c r="F34" i="32"/>
  <c r="F32" i="32"/>
  <c r="F31" i="32"/>
  <c r="F30" i="32"/>
  <c r="F29" i="32"/>
  <c r="F28" i="32"/>
  <c r="J27" i="32"/>
  <c r="F27" i="32"/>
  <c r="F26" i="32"/>
  <c r="F25" i="32"/>
  <c r="F24" i="32"/>
  <c r="F23" i="32"/>
  <c r="F22" i="32"/>
  <c r="F21" i="32"/>
  <c r="J20" i="32"/>
  <c r="F20" i="32"/>
  <c r="F19" i="32"/>
  <c r="F18" i="32"/>
  <c r="F17" i="32"/>
  <c r="F16" i="32"/>
  <c r="J15" i="32"/>
  <c r="F15" i="32"/>
  <c r="F14" i="32"/>
  <c r="F13" i="32"/>
  <c r="F12" i="32"/>
  <c r="J11" i="32"/>
  <c r="F11" i="32"/>
  <c r="F10" i="32"/>
  <c r="F9" i="32"/>
  <c r="F8" i="32"/>
  <c r="F7" i="32"/>
  <c r="J6" i="32"/>
  <c r="F6" i="32"/>
  <c r="F5" i="32"/>
  <c r="J4" i="32"/>
  <c r="F4" i="32"/>
  <c r="J3" i="32"/>
  <c r="F3" i="32"/>
  <c r="O38" i="30"/>
  <c r="O37" i="30"/>
  <c r="O36" i="30"/>
  <c r="O46" i="30" s="1"/>
  <c r="O48" i="30" s="1"/>
  <c r="N41" i="30"/>
  <c r="N40" i="30"/>
  <c r="N39" i="30"/>
  <c r="N38" i="30"/>
  <c r="N37" i="30"/>
  <c r="N36" i="30"/>
  <c r="N42" i="30" s="1"/>
  <c r="N48" i="30" s="1"/>
  <c r="G51" i="30"/>
  <c r="J20" i="30"/>
  <c r="K4" i="30"/>
  <c r="L4" i="30" s="1"/>
  <c r="J35" i="30"/>
  <c r="K35" i="30" s="1"/>
  <c r="L35" i="30" s="1"/>
  <c r="J34" i="30"/>
  <c r="J31" i="30"/>
  <c r="K31" i="30" s="1"/>
  <c r="L31" i="30" s="1"/>
  <c r="J27" i="30"/>
  <c r="J15" i="30"/>
  <c r="K15" i="30" s="1"/>
  <c r="L15" i="30" s="1"/>
  <c r="J11" i="30"/>
  <c r="J6" i="30"/>
  <c r="K6" i="30" s="1"/>
  <c r="L6" i="30" s="1"/>
  <c r="J3" i="30"/>
  <c r="K3" i="30" s="1"/>
  <c r="J4" i="30"/>
  <c r="C51" i="30"/>
  <c r="H51" i="30"/>
  <c r="F23" i="30"/>
  <c r="F24" i="30"/>
  <c r="F25" i="30"/>
  <c r="F26" i="30"/>
  <c r="F27" i="30"/>
  <c r="F28" i="30"/>
  <c r="F29" i="30"/>
  <c r="F30" i="30"/>
  <c r="K27" i="30" s="1"/>
  <c r="L27" i="30" s="1"/>
  <c r="F31" i="30"/>
  <c r="F32" i="30"/>
  <c r="F33" i="30"/>
  <c r="F34" i="30"/>
  <c r="K34" i="30" s="1"/>
  <c r="L34" i="30" s="1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22" i="30"/>
  <c r="F21" i="30"/>
  <c r="F20" i="30"/>
  <c r="K20" i="30" s="1"/>
  <c r="L20" i="30" s="1"/>
  <c r="F19" i="30"/>
  <c r="F18" i="30"/>
  <c r="F17" i="30"/>
  <c r="F16" i="30"/>
  <c r="F15" i="30"/>
  <c r="F14" i="30"/>
  <c r="F13" i="30"/>
  <c r="F12" i="30"/>
  <c r="F11" i="30"/>
  <c r="K11" i="30" s="1"/>
  <c r="L11" i="30" s="1"/>
  <c r="F10" i="30"/>
  <c r="F9" i="30"/>
  <c r="F8" i="30"/>
  <c r="F7" i="30"/>
  <c r="F6" i="30"/>
  <c r="F5" i="30"/>
  <c r="F4" i="30"/>
  <c r="F3" i="30"/>
  <c r="X18" i="29"/>
  <c r="X14" i="29"/>
  <c r="X6" i="29"/>
  <c r="X5" i="29"/>
  <c r="AB27" i="29"/>
  <c r="C19" i="29"/>
  <c r="V27" i="29"/>
  <c r="H6" i="29"/>
  <c r="J6" i="29" s="1"/>
  <c r="C21" i="29"/>
  <c r="C18" i="29"/>
  <c r="C13" i="29"/>
  <c r="C12" i="29"/>
  <c r="C11" i="29"/>
  <c r="C10" i="29"/>
  <c r="C9" i="29"/>
  <c r="C8" i="29"/>
  <c r="C7" i="29"/>
  <c r="C6" i="29"/>
  <c r="C5" i="29"/>
  <c r="J5" i="29" s="1"/>
  <c r="Q27" i="29"/>
  <c r="C27" i="29"/>
  <c r="N27" i="29"/>
  <c r="H3" i="29"/>
  <c r="J3" i="29" s="1"/>
  <c r="H22" i="29"/>
  <c r="H18" i="29"/>
  <c r="H14" i="29"/>
  <c r="S5" i="28"/>
  <c r="S4" i="28"/>
  <c r="Y28" i="36" l="1"/>
  <c r="V28" i="36" s="1"/>
  <c r="F27" i="36"/>
  <c r="K6" i="36"/>
  <c r="L6" i="36" s="1"/>
  <c r="K22" i="36"/>
  <c r="L22" i="36" s="1"/>
  <c r="K18" i="36"/>
  <c r="L18" i="36" s="1"/>
  <c r="K5" i="36"/>
  <c r="L5" i="36" s="1"/>
  <c r="J27" i="36"/>
  <c r="K3" i="36"/>
  <c r="H27" i="36"/>
  <c r="J31" i="32"/>
  <c r="F33" i="32"/>
  <c r="K51" i="30"/>
  <c r="L3" i="30"/>
  <c r="O31" i="29"/>
  <c r="J51" i="30"/>
  <c r="K15" i="32"/>
  <c r="L15" i="32" s="1"/>
  <c r="J35" i="32"/>
  <c r="K34" i="32"/>
  <c r="L34" i="32" s="1"/>
  <c r="C51" i="32"/>
  <c r="K27" i="32"/>
  <c r="L27" i="32" s="1"/>
  <c r="K20" i="32"/>
  <c r="L20" i="32" s="1"/>
  <c r="K4" i="32"/>
  <c r="L4" i="32" s="1"/>
  <c r="AH3" i="32"/>
  <c r="K35" i="32"/>
  <c r="L35" i="32" s="1"/>
  <c r="F51" i="32"/>
  <c r="K11" i="32"/>
  <c r="L11" i="32" s="1"/>
  <c r="X4" i="32"/>
  <c r="Y4" i="32" s="1"/>
  <c r="Z4" i="32" s="1"/>
  <c r="X11" i="32"/>
  <c r="Y11" i="32" s="1"/>
  <c r="Z11" i="32" s="1"/>
  <c r="T21" i="32"/>
  <c r="T31" i="32"/>
  <c r="Y31" i="32" s="1"/>
  <c r="Z31" i="32" s="1"/>
  <c r="Y27" i="32"/>
  <c r="Z27" i="32" s="1"/>
  <c r="Y35" i="32"/>
  <c r="Z35" i="32" s="1"/>
  <c r="Y6" i="32"/>
  <c r="Z6" i="32" s="1"/>
  <c r="X15" i="32"/>
  <c r="Y15" i="32" s="1"/>
  <c r="Z15" i="32" s="1"/>
  <c r="T3" i="32"/>
  <c r="K3" i="34"/>
  <c r="H4" i="34"/>
  <c r="F4" i="34"/>
  <c r="K31" i="32"/>
  <c r="L31" i="32" s="1"/>
  <c r="J51" i="32"/>
  <c r="K6" i="32"/>
  <c r="L6" i="32" s="1"/>
  <c r="K3" i="32"/>
  <c r="X27" i="29"/>
  <c r="F51" i="30"/>
  <c r="AA27" i="29"/>
  <c r="T8" i="29"/>
  <c r="AH14" i="29"/>
  <c r="AI14" i="29" s="1"/>
  <c r="AH16" i="29"/>
  <c r="AI16" i="29" s="1"/>
  <c r="AH18" i="29"/>
  <c r="AI18" i="29" s="1"/>
  <c r="AH20" i="29"/>
  <c r="AI20" i="29" s="1"/>
  <c r="AH22" i="29"/>
  <c r="AI22" i="29" s="1"/>
  <c r="AH24" i="29"/>
  <c r="AI24" i="29" s="1"/>
  <c r="AH26" i="29"/>
  <c r="AI26" i="29" s="1"/>
  <c r="M27" i="29"/>
  <c r="AI4" i="29"/>
  <c r="AH4" i="29"/>
  <c r="AH6" i="29"/>
  <c r="AI6" i="29" s="1"/>
  <c r="AH7" i="29"/>
  <c r="AI7" i="29" s="1"/>
  <c r="AH8" i="29"/>
  <c r="AI8" i="29" s="1"/>
  <c r="AH9" i="29"/>
  <c r="AI9" i="29" s="1"/>
  <c r="AH10" i="29"/>
  <c r="AI10" i="29" s="1"/>
  <c r="AH11" i="29"/>
  <c r="AI11" i="29" s="1"/>
  <c r="AH12" i="29"/>
  <c r="AI12" i="29" s="1"/>
  <c r="AH13" i="29"/>
  <c r="AI13" i="29" s="1"/>
  <c r="AH15" i="29"/>
  <c r="AI15" i="29" s="1"/>
  <c r="AH17" i="29"/>
  <c r="AI17" i="29" s="1"/>
  <c r="AH19" i="29"/>
  <c r="AI19" i="29" s="1"/>
  <c r="AH21" i="29"/>
  <c r="AI21" i="29" s="1"/>
  <c r="AH23" i="29"/>
  <c r="AI23" i="29" s="1"/>
  <c r="AH25" i="29"/>
  <c r="AI25" i="29" s="1"/>
  <c r="AH3" i="29"/>
  <c r="AI3" i="29" s="1"/>
  <c r="AG27" i="29"/>
  <c r="T12" i="29"/>
  <c r="T10" i="29"/>
  <c r="U27" i="29"/>
  <c r="T18" i="29"/>
  <c r="W47" i="28"/>
  <c r="X47" i="28"/>
  <c r="T7" i="29"/>
  <c r="T13" i="29"/>
  <c r="T15" i="29"/>
  <c r="T19" i="29"/>
  <c r="T21" i="29"/>
  <c r="T25" i="29"/>
  <c r="F5" i="29"/>
  <c r="T9" i="29"/>
  <c r="T17" i="29"/>
  <c r="T22" i="29"/>
  <c r="T24" i="29"/>
  <c r="T11" i="29"/>
  <c r="T3" i="29"/>
  <c r="J22" i="29"/>
  <c r="J18" i="29"/>
  <c r="J14" i="29"/>
  <c r="G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4" i="29"/>
  <c r="F3" i="29"/>
  <c r="L3" i="36" l="1"/>
  <c r="K27" i="36"/>
  <c r="Y3" i="32"/>
  <c r="Z3" i="32" s="1"/>
  <c r="L3" i="34"/>
  <c r="J4" i="34"/>
  <c r="L3" i="32"/>
  <c r="K51" i="32"/>
  <c r="K3" i="29"/>
  <c r="L3" i="29" s="1"/>
  <c r="T16" i="29"/>
  <c r="T26" i="29"/>
  <c r="T20" i="29"/>
  <c r="Y18" i="29" s="1"/>
  <c r="Z18" i="29" s="1"/>
  <c r="AH5" i="29"/>
  <c r="AI5" i="29" s="1"/>
  <c r="K14" i="29"/>
  <c r="L14" i="29" s="1"/>
  <c r="K5" i="29"/>
  <c r="L5" i="29" s="1"/>
  <c r="H27" i="29"/>
  <c r="K6" i="29"/>
  <c r="L6" i="29" s="1"/>
  <c r="K18" i="29"/>
  <c r="L18" i="29" s="1"/>
  <c r="T5" i="29"/>
  <c r="Y5" i="29" s="1"/>
  <c r="Z5" i="29" s="1"/>
  <c r="T14" i="29"/>
  <c r="Y14" i="29" s="1"/>
  <c r="Z14" i="29" s="1"/>
  <c r="T23" i="29"/>
  <c r="T4" i="29"/>
  <c r="Y3" i="29" s="1"/>
  <c r="Y27" i="29" s="1"/>
  <c r="AH27" i="29"/>
  <c r="AI27" i="29" s="1"/>
  <c r="T6" i="29"/>
  <c r="Y6" i="29" s="1"/>
  <c r="Z6" i="29" s="1"/>
  <c r="J27" i="29"/>
  <c r="K22" i="29"/>
  <c r="F27" i="29"/>
  <c r="O47" i="28"/>
  <c r="C4" i="28"/>
  <c r="C5" i="28"/>
  <c r="C6" i="28"/>
  <c r="C7" i="28"/>
  <c r="C8" i="28"/>
  <c r="C10" i="28"/>
  <c r="C11" i="28"/>
  <c r="C13" i="28"/>
  <c r="C14" i="28"/>
  <c r="C15" i="28"/>
  <c r="C18" i="28"/>
  <c r="C21" i="28"/>
  <c r="C22" i="28"/>
  <c r="C24" i="28"/>
  <c r="C31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3" i="28"/>
  <c r="J3" i="28" s="1"/>
  <c r="S31" i="28"/>
  <c r="S30" i="28"/>
  <c r="C30" i="28" s="1"/>
  <c r="S29" i="28"/>
  <c r="C29" i="28" s="1"/>
  <c r="S28" i="28"/>
  <c r="C28" i="28" s="1"/>
  <c r="J28" i="28" s="1"/>
  <c r="S23" i="28"/>
  <c r="C23" i="28" s="1"/>
  <c r="J22" i="28" s="1"/>
  <c r="S20" i="28"/>
  <c r="C20" i="28" s="1"/>
  <c r="S19" i="28"/>
  <c r="C19" i="28" s="1"/>
  <c r="J19" i="28" s="1"/>
  <c r="S32" i="28"/>
  <c r="C32" i="28" s="1"/>
  <c r="S12" i="28"/>
  <c r="C12" i="28" s="1"/>
  <c r="S9" i="28"/>
  <c r="S17" i="28"/>
  <c r="C17" i="28" s="1"/>
  <c r="S16" i="28"/>
  <c r="C16" i="28" s="1"/>
  <c r="J16" i="28" s="1"/>
  <c r="S27" i="28"/>
  <c r="C27" i="28" s="1"/>
  <c r="S26" i="28"/>
  <c r="C26" i="28" s="1"/>
  <c r="S25" i="28"/>
  <c r="C25" i="28" s="1"/>
  <c r="Z5" i="28"/>
  <c r="C4" i="23"/>
  <c r="C5" i="23"/>
  <c r="C6" i="23"/>
  <c r="C7" i="23"/>
  <c r="C8" i="23"/>
  <c r="C9" i="23"/>
  <c r="C10" i="23"/>
  <c r="C11" i="23"/>
  <c r="C12" i="23"/>
  <c r="C13" i="23"/>
  <c r="C14" i="23"/>
  <c r="C3" i="23"/>
  <c r="P26" i="23"/>
  <c r="Q101" i="28"/>
  <c r="P101" i="28"/>
  <c r="AD26" i="23"/>
  <c r="T16" i="23"/>
  <c r="C16" i="23" s="1"/>
  <c r="T17" i="23"/>
  <c r="C17" i="23" s="1"/>
  <c r="T18" i="23"/>
  <c r="C18" i="23" s="1"/>
  <c r="T19" i="23"/>
  <c r="C19" i="23" s="1"/>
  <c r="T20" i="23"/>
  <c r="C20" i="23" s="1"/>
  <c r="T21" i="23"/>
  <c r="C21" i="23" s="1"/>
  <c r="T22" i="23"/>
  <c r="C22" i="23" s="1"/>
  <c r="T23" i="23"/>
  <c r="C23" i="23" s="1"/>
  <c r="T24" i="23"/>
  <c r="C24" i="23" s="1"/>
  <c r="T25" i="23"/>
  <c r="C25" i="23" s="1"/>
  <c r="T15" i="23"/>
  <c r="C15" i="23" s="1"/>
  <c r="AE26" i="23"/>
  <c r="Y26" i="23"/>
  <c r="X26" i="23"/>
  <c r="W24" i="23"/>
  <c r="W23" i="23"/>
  <c r="W22" i="23"/>
  <c r="W21" i="23"/>
  <c r="W20" i="23"/>
  <c r="W19" i="23"/>
  <c r="W18" i="23"/>
  <c r="W17" i="23"/>
  <c r="W16" i="23"/>
  <c r="W15" i="23"/>
  <c r="W14" i="23"/>
  <c r="W13" i="23"/>
  <c r="W12" i="23"/>
  <c r="W11" i="23"/>
  <c r="W10" i="23"/>
  <c r="W9" i="23"/>
  <c r="W8" i="23"/>
  <c r="W7" i="23"/>
  <c r="W6" i="23"/>
  <c r="W5" i="23"/>
  <c r="W4" i="23"/>
  <c r="AA3" i="23"/>
  <c r="W3" i="23"/>
  <c r="O101" i="28"/>
  <c r="N47" i="28"/>
  <c r="AC47" i="28"/>
  <c r="AD47" i="28" s="1"/>
  <c r="V46" i="28"/>
  <c r="V45" i="28"/>
  <c r="V44" i="28"/>
  <c r="V43" i="28"/>
  <c r="V42" i="28"/>
  <c r="Z41" i="28"/>
  <c r="V41" i="28"/>
  <c r="V40" i="28"/>
  <c r="V39" i="28"/>
  <c r="V38" i="28"/>
  <c r="V37" i="28"/>
  <c r="V36" i="28"/>
  <c r="V35" i="28"/>
  <c r="Z34" i="28"/>
  <c r="V34" i="28"/>
  <c r="Z33" i="28"/>
  <c r="V33" i="28"/>
  <c r="Z32" i="28"/>
  <c r="V32" i="28"/>
  <c r="V31" i="28"/>
  <c r="V30" i="28"/>
  <c r="V29" i="28"/>
  <c r="Z28" i="28"/>
  <c r="V28" i="28"/>
  <c r="V27" i="28"/>
  <c r="V26" i="28"/>
  <c r="Z25" i="28"/>
  <c r="V25" i="28"/>
  <c r="V24" i="28"/>
  <c r="V23" i="28"/>
  <c r="Z22" i="28"/>
  <c r="V22" i="28"/>
  <c r="V21" i="28"/>
  <c r="V20" i="28"/>
  <c r="Z19" i="28"/>
  <c r="V19" i="28"/>
  <c r="V18" i="28"/>
  <c r="V17" i="28"/>
  <c r="Z16" i="28"/>
  <c r="V16" i="28"/>
  <c r="V15" i="28"/>
  <c r="V14" i="28"/>
  <c r="Z13" i="28"/>
  <c r="V13" i="28"/>
  <c r="V12" i="28"/>
  <c r="V11" i="28"/>
  <c r="V10" i="28"/>
  <c r="Z9" i="28"/>
  <c r="V9" i="28"/>
  <c r="V8" i="28"/>
  <c r="V7" i="28"/>
  <c r="V6" i="28"/>
  <c r="V5" i="28"/>
  <c r="Z4" i="28"/>
  <c r="V4" i="28"/>
  <c r="Z3" i="28"/>
  <c r="V3" i="28"/>
  <c r="J5" i="28"/>
  <c r="J4" i="28"/>
  <c r="M47" i="28"/>
  <c r="H47" i="28"/>
  <c r="G47" i="28"/>
  <c r="K28" i="36" l="1"/>
  <c r="H28" i="36" s="1"/>
  <c r="J25" i="28"/>
  <c r="W25" i="23"/>
  <c r="S47" i="28"/>
  <c r="J13" i="28"/>
  <c r="C9" i="28"/>
  <c r="J9" i="28" s="1"/>
  <c r="T26" i="23"/>
  <c r="K4" i="34"/>
  <c r="K5" i="34" s="1"/>
  <c r="H5" i="34" s="1"/>
  <c r="K52" i="32"/>
  <c r="H52" i="32" s="1"/>
  <c r="K52" i="30"/>
  <c r="H52" i="30" s="1"/>
  <c r="AA4" i="28"/>
  <c r="AB4" i="28" s="1"/>
  <c r="Z47" i="28"/>
  <c r="V47" i="28"/>
  <c r="T27" i="29"/>
  <c r="K27" i="29"/>
  <c r="L22" i="29"/>
  <c r="AA32" i="28"/>
  <c r="AB32" i="28" s="1"/>
  <c r="AA41" i="28"/>
  <c r="AB41" i="28" s="1"/>
  <c r="AA34" i="28"/>
  <c r="AB34" i="28" s="1"/>
  <c r="AA13" i="28"/>
  <c r="AB13" i="28" s="1"/>
  <c r="AA28" i="28"/>
  <c r="AB28" i="28" s="1"/>
  <c r="AA22" i="28"/>
  <c r="AB22" i="28" s="1"/>
  <c r="AA19" i="28"/>
  <c r="AB19" i="28" s="1"/>
  <c r="AA33" i="28"/>
  <c r="AB33" i="28" s="1"/>
  <c r="AA9" i="28"/>
  <c r="AB9" i="28" s="1"/>
  <c r="AA16" i="28"/>
  <c r="AB16" i="28" s="1"/>
  <c r="AA25" i="28"/>
  <c r="AB25" i="28" s="1"/>
  <c r="AA5" i="28"/>
  <c r="AB5" i="28" s="1"/>
  <c r="AA15" i="23"/>
  <c r="AA26" i="23" s="1"/>
  <c r="W26" i="23"/>
  <c r="AB3" i="23"/>
  <c r="AA3" i="28"/>
  <c r="J41" i="28"/>
  <c r="J34" i="28"/>
  <c r="J33" i="28"/>
  <c r="J32" i="28"/>
  <c r="C47" i="28"/>
  <c r="F17" i="28"/>
  <c r="F18" i="28"/>
  <c r="F19" i="28"/>
  <c r="K19" i="28" s="1"/>
  <c r="L19" i="28" s="1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16" i="28"/>
  <c r="K16" i="28" s="1"/>
  <c r="L16" i="28" s="1"/>
  <c r="F15" i="28"/>
  <c r="F14" i="28"/>
  <c r="F13" i="28"/>
  <c r="K13" i="28" s="1"/>
  <c r="L13" i="28" s="1"/>
  <c r="F12" i="28"/>
  <c r="F11" i="28"/>
  <c r="F10" i="28"/>
  <c r="F9" i="28"/>
  <c r="K9" i="28" s="1"/>
  <c r="L9" i="28" s="1"/>
  <c r="F8" i="28"/>
  <c r="F7" i="28"/>
  <c r="F6" i="28"/>
  <c r="F5" i="28"/>
  <c r="K5" i="28" s="1"/>
  <c r="L5" i="28" s="1"/>
  <c r="F4" i="28"/>
  <c r="K4" i="28" s="1"/>
  <c r="L4" i="28" s="1"/>
  <c r="F3" i="28"/>
  <c r="K3" i="28" s="1"/>
  <c r="L3" i="28" s="1"/>
  <c r="W33" i="27"/>
  <c r="P5" i="27"/>
  <c r="P6" i="27"/>
  <c r="P32" i="27"/>
  <c r="P33" i="27"/>
  <c r="P3" i="27"/>
  <c r="G33" i="27"/>
  <c r="R70" i="27"/>
  <c r="C4" i="27"/>
  <c r="P4" i="27" s="1"/>
  <c r="C7" i="27"/>
  <c r="P7" i="27" s="1"/>
  <c r="C8" i="27"/>
  <c r="P8" i="27" s="1"/>
  <c r="C9" i="27"/>
  <c r="P9" i="27" s="1"/>
  <c r="C10" i="27"/>
  <c r="P10" i="27" s="1"/>
  <c r="C11" i="27"/>
  <c r="P11" i="27" s="1"/>
  <c r="C12" i="27"/>
  <c r="P12" i="27" s="1"/>
  <c r="C13" i="27"/>
  <c r="P13" i="27" s="1"/>
  <c r="C14" i="27"/>
  <c r="P14" i="27" s="1"/>
  <c r="C15" i="27"/>
  <c r="P15" i="27" s="1"/>
  <c r="C16" i="27"/>
  <c r="P16" i="27" s="1"/>
  <c r="C17" i="27"/>
  <c r="P17" i="27" s="1"/>
  <c r="C18" i="27"/>
  <c r="P18" i="27" s="1"/>
  <c r="C19" i="27"/>
  <c r="P19" i="27" s="1"/>
  <c r="C20" i="27"/>
  <c r="P20" i="27" s="1"/>
  <c r="C21" i="27"/>
  <c r="P21" i="27" s="1"/>
  <c r="C22" i="27"/>
  <c r="P22" i="27" s="1"/>
  <c r="C23" i="27"/>
  <c r="P23" i="27" s="1"/>
  <c r="C24" i="27"/>
  <c r="P24" i="27" s="1"/>
  <c r="C25" i="27"/>
  <c r="P25" i="27" s="1"/>
  <c r="C26" i="27"/>
  <c r="P26" i="27" s="1"/>
  <c r="C27" i="27"/>
  <c r="P27" i="27" s="1"/>
  <c r="C28" i="27"/>
  <c r="P28" i="27" s="1"/>
  <c r="C29" i="27"/>
  <c r="P29" i="27" s="1"/>
  <c r="C30" i="27"/>
  <c r="P30" i="27" s="1"/>
  <c r="C31" i="27"/>
  <c r="P31" i="27" s="1"/>
  <c r="X33" i="27"/>
  <c r="O34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40" i="27"/>
  <c r="Q70" i="27" s="1"/>
  <c r="P70" i="27"/>
  <c r="H33" i="27"/>
  <c r="N32" i="27"/>
  <c r="AC33" i="27"/>
  <c r="M33" i="27"/>
  <c r="Z32" i="27"/>
  <c r="J32" i="27"/>
  <c r="K22" i="28" l="1"/>
  <c r="L22" i="28" s="1"/>
  <c r="K25" i="28"/>
  <c r="L25" i="28" s="1"/>
  <c r="K28" i="28"/>
  <c r="L28" i="28" s="1"/>
  <c r="AB15" i="23"/>
  <c r="AC15" i="23" s="1"/>
  <c r="AA47" i="28"/>
  <c r="AA48" i="28" s="1"/>
  <c r="Y48" i="28" s="1"/>
  <c r="Y28" i="29"/>
  <c r="V28" i="29" s="1"/>
  <c r="K28" i="29"/>
  <c r="H28" i="29" s="1"/>
  <c r="K33" i="28"/>
  <c r="L33" i="28" s="1"/>
  <c r="K41" i="28"/>
  <c r="L41" i="28" s="1"/>
  <c r="K32" i="28"/>
  <c r="L32" i="28" s="1"/>
  <c r="AC3" i="23"/>
  <c r="AB26" i="23"/>
  <c r="AB3" i="28"/>
  <c r="J47" i="28"/>
  <c r="K34" i="28"/>
  <c r="F47" i="28"/>
  <c r="V32" i="27"/>
  <c r="F32" i="27"/>
  <c r="K32" i="27" s="1"/>
  <c r="L32" i="27" s="1"/>
  <c r="AB27" i="23" l="1"/>
  <c r="Y27" i="23" s="1"/>
  <c r="L34" i="28"/>
  <c r="K47" i="28"/>
  <c r="AA32" i="27"/>
  <c r="AB32" i="27" s="1"/>
  <c r="N4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J27" i="27" l="1"/>
  <c r="N33" i="27"/>
  <c r="AD33" i="27"/>
  <c r="S34" i="27"/>
  <c r="V31" i="27"/>
  <c r="V30" i="27"/>
  <c r="V29" i="27"/>
  <c r="V28" i="27"/>
  <c r="Z27" i="27"/>
  <c r="V27" i="27"/>
  <c r="V26" i="27"/>
  <c r="V25" i="27"/>
  <c r="V24" i="27"/>
  <c r="V23" i="27"/>
  <c r="V22" i="27"/>
  <c r="V21" i="27"/>
  <c r="V20" i="27"/>
  <c r="V19" i="27"/>
  <c r="V18" i="27"/>
  <c r="V17" i="27"/>
  <c r="V16" i="27"/>
  <c r="Z15" i="27"/>
  <c r="V15" i="27"/>
  <c r="V14" i="27"/>
  <c r="V13" i="27"/>
  <c r="V12" i="27"/>
  <c r="V11" i="27"/>
  <c r="V10" i="27"/>
  <c r="V9" i="27"/>
  <c r="V8" i="27"/>
  <c r="Z7" i="27"/>
  <c r="V7" i="27"/>
  <c r="V6" i="27"/>
  <c r="V5" i="27"/>
  <c r="V4" i="27"/>
  <c r="Z3" i="27"/>
  <c r="V3" i="27"/>
  <c r="J15" i="27"/>
  <c r="J7" i="27"/>
  <c r="J3" i="27"/>
  <c r="V33" i="27" l="1"/>
  <c r="AA7" i="27"/>
  <c r="AB7" i="27" s="1"/>
  <c r="AA15" i="27"/>
  <c r="AB15" i="27" s="1"/>
  <c r="AA27" i="27"/>
  <c r="AB27" i="27" s="1"/>
  <c r="Z33" i="27"/>
  <c r="AA3" i="27"/>
  <c r="C34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P36" i="27" l="1"/>
  <c r="O36" i="27" s="1"/>
  <c r="P34" i="27"/>
  <c r="K27" i="27"/>
  <c r="L27" i="27" s="1"/>
  <c r="K3" i="27"/>
  <c r="L3" i="27" s="1"/>
  <c r="K7" i="27"/>
  <c r="L7" i="27" s="1"/>
  <c r="K15" i="27"/>
  <c r="L15" i="27" s="1"/>
  <c r="AB3" i="27"/>
  <c r="AA33" i="27"/>
  <c r="AA34" i="27" s="1"/>
  <c r="X34" i="27" s="1"/>
  <c r="F33" i="27"/>
  <c r="AC34" i="26"/>
  <c r="J73" i="26"/>
  <c r="P17" i="26"/>
  <c r="P29" i="26"/>
  <c r="P32" i="26"/>
  <c r="P33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7" i="26"/>
  <c r="I58" i="26"/>
  <c r="I59" i="26"/>
  <c r="I60" i="26"/>
  <c r="I61" i="26"/>
  <c r="I62" i="26"/>
  <c r="I63" i="26"/>
  <c r="I64" i="26"/>
  <c r="I65" i="26"/>
  <c r="I66" i="26"/>
  <c r="I67" i="26"/>
  <c r="I69" i="26"/>
  <c r="I70" i="26"/>
  <c r="I71" i="26"/>
  <c r="I42" i="26"/>
  <c r="I73" i="26" s="1"/>
  <c r="H73" i="26"/>
  <c r="X34" i="26"/>
  <c r="W34" i="26"/>
  <c r="S31" i="26"/>
  <c r="P31" i="26" s="1"/>
  <c r="AD3" i="26"/>
  <c r="AD4" i="26"/>
  <c r="AD5" i="26"/>
  <c r="AD6" i="26"/>
  <c r="AD7" i="26"/>
  <c r="AD8" i="26"/>
  <c r="AD9" i="26"/>
  <c r="AD10" i="26"/>
  <c r="AD11" i="26"/>
  <c r="AD12" i="26"/>
  <c r="AD13" i="26"/>
  <c r="AD14" i="26"/>
  <c r="AD15" i="26"/>
  <c r="AD16" i="26"/>
  <c r="AD18" i="26"/>
  <c r="AD19" i="26"/>
  <c r="AD20" i="26"/>
  <c r="AD21" i="26"/>
  <c r="AD22" i="26"/>
  <c r="AD23" i="26"/>
  <c r="AD24" i="26"/>
  <c r="AD25" i="26"/>
  <c r="AD26" i="26"/>
  <c r="AD27" i="26"/>
  <c r="AD28" i="26"/>
  <c r="AD30" i="26"/>
  <c r="AD31" i="26"/>
  <c r="AD32" i="26"/>
  <c r="S16" i="26"/>
  <c r="P16" i="26" s="1"/>
  <c r="S18" i="26"/>
  <c r="P18" i="26" s="1"/>
  <c r="S19" i="26"/>
  <c r="V19" i="26" s="1"/>
  <c r="S20" i="26"/>
  <c r="P20" i="26" s="1"/>
  <c r="S21" i="26"/>
  <c r="P21" i="26" s="1"/>
  <c r="S22" i="26"/>
  <c r="P22" i="26" s="1"/>
  <c r="S23" i="26"/>
  <c r="V23" i="26" s="1"/>
  <c r="S24" i="26"/>
  <c r="P24" i="26" s="1"/>
  <c r="S25" i="26"/>
  <c r="P25" i="26" s="1"/>
  <c r="S26" i="26"/>
  <c r="P26" i="26" s="1"/>
  <c r="S27" i="26"/>
  <c r="P27" i="26" s="1"/>
  <c r="S28" i="26"/>
  <c r="V28" i="26" s="1"/>
  <c r="V29" i="26"/>
  <c r="S30" i="26"/>
  <c r="P30" i="26" s="1"/>
  <c r="V31" i="26"/>
  <c r="S15" i="26"/>
  <c r="P15" i="26" s="1"/>
  <c r="F17" i="26"/>
  <c r="F19" i="26"/>
  <c r="F21" i="26"/>
  <c r="F23" i="26"/>
  <c r="F25" i="26"/>
  <c r="F28" i="26"/>
  <c r="F29" i="26"/>
  <c r="F30" i="26"/>
  <c r="F31" i="26"/>
  <c r="J32" i="26"/>
  <c r="V17" i="26"/>
  <c r="V21" i="26"/>
  <c r="V25" i="26"/>
  <c r="Z29" i="26"/>
  <c r="Z32" i="26"/>
  <c r="S4" i="26"/>
  <c r="P4" i="26" s="1"/>
  <c r="S5" i="26"/>
  <c r="P5" i="26" s="1"/>
  <c r="S6" i="26"/>
  <c r="P6" i="26" s="1"/>
  <c r="S7" i="26"/>
  <c r="V7" i="26" s="1"/>
  <c r="S8" i="26"/>
  <c r="P8" i="26" s="1"/>
  <c r="S9" i="26"/>
  <c r="V9" i="26" s="1"/>
  <c r="S10" i="26"/>
  <c r="P10" i="26" s="1"/>
  <c r="S11" i="26"/>
  <c r="V11" i="26" s="1"/>
  <c r="S12" i="26"/>
  <c r="P12" i="26" s="1"/>
  <c r="S13" i="26"/>
  <c r="V13" i="26" s="1"/>
  <c r="S14" i="26"/>
  <c r="P14" i="26" s="1"/>
  <c r="S3" i="26"/>
  <c r="V3" i="26" s="1"/>
  <c r="J3" i="26"/>
  <c r="V32" i="26"/>
  <c r="V30" i="26"/>
  <c r="V26" i="26"/>
  <c r="V24" i="26"/>
  <c r="V22" i="26"/>
  <c r="V20" i="26"/>
  <c r="V18" i="26"/>
  <c r="V16" i="26"/>
  <c r="V14" i="26"/>
  <c r="V12" i="26"/>
  <c r="V10" i="26"/>
  <c r="V8" i="26"/>
  <c r="V6" i="26"/>
  <c r="V4" i="26"/>
  <c r="O34" i="26"/>
  <c r="J29" i="26"/>
  <c r="J16" i="26"/>
  <c r="H34" i="26"/>
  <c r="G34" i="26"/>
  <c r="M34" i="26"/>
  <c r="F32" i="26"/>
  <c r="F33" i="26"/>
  <c r="F26" i="26"/>
  <c r="F24" i="26"/>
  <c r="F22" i="26"/>
  <c r="F20" i="26"/>
  <c r="F18" i="26"/>
  <c r="F16" i="26"/>
  <c r="F14" i="26"/>
  <c r="F13" i="26"/>
  <c r="F12" i="26"/>
  <c r="F11" i="26"/>
  <c r="F10" i="26"/>
  <c r="F9" i="26"/>
  <c r="F8" i="26"/>
  <c r="F7" i="26"/>
  <c r="F6" i="26"/>
  <c r="F5" i="26"/>
  <c r="F4" i="26"/>
  <c r="F3" i="26"/>
  <c r="P23" i="26" l="1"/>
  <c r="P19" i="26"/>
  <c r="P11" i="26"/>
  <c r="P7" i="26"/>
  <c r="P3" i="26"/>
  <c r="P13" i="26"/>
  <c r="P9" i="26"/>
  <c r="Z16" i="26"/>
  <c r="P28" i="26"/>
  <c r="J33" i="27"/>
  <c r="Z26" i="26"/>
  <c r="N34" i="26"/>
  <c r="AD34" i="26"/>
  <c r="V27" i="26"/>
  <c r="AA26" i="26" s="1"/>
  <c r="AB26" i="26" s="1"/>
  <c r="K32" i="26"/>
  <c r="L32" i="26" s="1"/>
  <c r="J26" i="26"/>
  <c r="K16" i="26"/>
  <c r="L16" i="26" s="1"/>
  <c r="K29" i="26"/>
  <c r="L29" i="26" s="1"/>
  <c r="F27" i="26"/>
  <c r="AA16" i="26"/>
  <c r="AB16" i="26" s="1"/>
  <c r="AA29" i="26"/>
  <c r="AB29" i="26" s="1"/>
  <c r="V33" i="26"/>
  <c r="AA32" i="26" s="1"/>
  <c r="AB32" i="26" s="1"/>
  <c r="Z3" i="26"/>
  <c r="V5" i="26"/>
  <c r="K3" i="26"/>
  <c r="L3" i="26" s="1"/>
  <c r="M32" i="25"/>
  <c r="AC32" i="25"/>
  <c r="O24" i="24"/>
  <c r="AC24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3" i="24"/>
  <c r="N24" i="24"/>
  <c r="M24" i="24"/>
  <c r="I54" i="24"/>
  <c r="H54" i="24"/>
  <c r="G54" i="24"/>
  <c r="C4" i="24"/>
  <c r="C5" i="24"/>
  <c r="F5" i="24" s="1"/>
  <c r="C6" i="24"/>
  <c r="C7" i="24"/>
  <c r="F7" i="24" s="1"/>
  <c r="C8" i="24"/>
  <c r="C9" i="24"/>
  <c r="F9" i="24" s="1"/>
  <c r="C10" i="24"/>
  <c r="C11" i="24"/>
  <c r="C12" i="24"/>
  <c r="C13" i="24"/>
  <c r="F13" i="24" s="1"/>
  <c r="C14" i="24"/>
  <c r="C15" i="24"/>
  <c r="F15" i="24" s="1"/>
  <c r="C16" i="24"/>
  <c r="C17" i="24"/>
  <c r="C18" i="24"/>
  <c r="C19" i="24"/>
  <c r="F19" i="24" s="1"/>
  <c r="C20" i="24"/>
  <c r="C21" i="24"/>
  <c r="F21" i="24" s="1"/>
  <c r="C22" i="24"/>
  <c r="C23" i="24"/>
  <c r="F23" i="24" s="1"/>
  <c r="C3" i="24"/>
  <c r="S24" i="24"/>
  <c r="Z7" i="24"/>
  <c r="V9" i="24"/>
  <c r="V11" i="24"/>
  <c r="V15" i="24"/>
  <c r="V17" i="24"/>
  <c r="AD24" i="24"/>
  <c r="X24" i="24"/>
  <c r="W24" i="24"/>
  <c r="V23" i="24"/>
  <c r="V22" i="24"/>
  <c r="V21" i="24"/>
  <c r="V20" i="24"/>
  <c r="V19" i="24"/>
  <c r="V18" i="24"/>
  <c r="Z17" i="24"/>
  <c r="V16" i="24"/>
  <c r="Z14" i="24"/>
  <c r="V14" i="24"/>
  <c r="V13" i="24"/>
  <c r="V12" i="24"/>
  <c r="Z11" i="24"/>
  <c r="V10" i="24"/>
  <c r="V8" i="24"/>
  <c r="V7" i="24"/>
  <c r="V6" i="24"/>
  <c r="V5" i="24"/>
  <c r="V4" i="24"/>
  <c r="Z3" i="24"/>
  <c r="V3" i="24"/>
  <c r="V5" i="25"/>
  <c r="V7" i="25"/>
  <c r="V9" i="25"/>
  <c r="V11" i="25"/>
  <c r="V13" i="25"/>
  <c r="V15" i="25"/>
  <c r="V23" i="25"/>
  <c r="V25" i="25"/>
  <c r="V27" i="25"/>
  <c r="V29" i="25"/>
  <c r="V31" i="25"/>
  <c r="F4" i="25"/>
  <c r="F9" i="25"/>
  <c r="F11" i="25"/>
  <c r="F7" i="25"/>
  <c r="F13" i="25"/>
  <c r="F15" i="25"/>
  <c r="F17" i="25"/>
  <c r="F19" i="25"/>
  <c r="F21" i="25"/>
  <c r="J22" i="25"/>
  <c r="F25" i="25"/>
  <c r="F27" i="25"/>
  <c r="F29" i="25"/>
  <c r="F31" i="25"/>
  <c r="O32" i="25"/>
  <c r="AD32" i="25"/>
  <c r="X32" i="25"/>
  <c r="W32" i="25"/>
  <c r="S32" i="25"/>
  <c r="V30" i="25"/>
  <c r="V28" i="25"/>
  <c r="V26" i="25"/>
  <c r="V24" i="25"/>
  <c r="Z22" i="25"/>
  <c r="V22" i="25"/>
  <c r="V21" i="25"/>
  <c r="V20" i="25"/>
  <c r="V19" i="25"/>
  <c r="V18" i="25"/>
  <c r="V17" i="25"/>
  <c r="V16" i="25"/>
  <c r="Z15" i="25"/>
  <c r="V14" i="25"/>
  <c r="V12" i="25"/>
  <c r="V10" i="25"/>
  <c r="V8" i="25"/>
  <c r="V6" i="25"/>
  <c r="V4" i="25"/>
  <c r="V3" i="25"/>
  <c r="J15" i="25"/>
  <c r="N32" i="25"/>
  <c r="G32" i="25"/>
  <c r="H32" i="25"/>
  <c r="F3" i="25"/>
  <c r="F6" i="25"/>
  <c r="F8" i="25"/>
  <c r="F10" i="25"/>
  <c r="F12" i="25"/>
  <c r="F14" i="25"/>
  <c r="F16" i="25"/>
  <c r="F18" i="25"/>
  <c r="F20" i="25"/>
  <c r="F22" i="25"/>
  <c r="F24" i="25"/>
  <c r="F26" i="25"/>
  <c r="F28" i="25"/>
  <c r="F30" i="25"/>
  <c r="J14" i="24"/>
  <c r="H24" i="24"/>
  <c r="G24" i="24"/>
  <c r="F22" i="24"/>
  <c r="F20" i="24"/>
  <c r="F18" i="24"/>
  <c r="F16" i="24"/>
  <c r="F14" i="24"/>
  <c r="F12" i="24"/>
  <c r="F8" i="24"/>
  <c r="F6" i="24"/>
  <c r="F4" i="24"/>
  <c r="F3" i="24"/>
  <c r="J3" i="23"/>
  <c r="AT26" i="23"/>
  <c r="AS26" i="23"/>
  <c r="J15" i="23"/>
  <c r="N26" i="23"/>
  <c r="H26" i="23"/>
  <c r="G26" i="23"/>
  <c r="C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S6" i="22"/>
  <c r="S4" i="22"/>
  <c r="S5" i="22"/>
  <c r="S7" i="22"/>
  <c r="V7" i="22" s="1"/>
  <c r="S3" i="22"/>
  <c r="T20" i="22"/>
  <c r="U20" i="22" s="1"/>
  <c r="S20" i="22"/>
  <c r="AB3" i="21"/>
  <c r="AB23" i="21"/>
  <c r="N4" i="22"/>
  <c r="N5" i="22"/>
  <c r="N6" i="22"/>
  <c r="N7" i="22"/>
  <c r="N3" i="22"/>
  <c r="AD8" i="22"/>
  <c r="O8" i="22"/>
  <c r="F5" i="22"/>
  <c r="F7" i="22"/>
  <c r="P4" i="22"/>
  <c r="P5" i="22"/>
  <c r="P7" i="22"/>
  <c r="P3" i="22"/>
  <c r="AC8" i="22"/>
  <c r="X8" i="22"/>
  <c r="W8" i="22"/>
  <c r="Z7" i="22"/>
  <c r="V5" i="22"/>
  <c r="V4" i="22"/>
  <c r="Z3" i="22"/>
  <c r="V3" i="22"/>
  <c r="J7" i="22"/>
  <c r="J3" i="22"/>
  <c r="M8" i="22"/>
  <c r="H8" i="22"/>
  <c r="G8" i="22"/>
  <c r="F4" i="22"/>
  <c r="F3" i="22"/>
  <c r="R4" i="21"/>
  <c r="P4" i="21" s="1"/>
  <c r="R5" i="21"/>
  <c r="P5" i="21" s="1"/>
  <c r="R6" i="21"/>
  <c r="P6" i="21" s="1"/>
  <c r="R7" i="21"/>
  <c r="P7" i="21" s="1"/>
  <c r="R8" i="21"/>
  <c r="P8" i="21" s="1"/>
  <c r="R9" i="21"/>
  <c r="P9" i="21" s="1"/>
  <c r="R10" i="21"/>
  <c r="P10" i="21" s="1"/>
  <c r="R11" i="21"/>
  <c r="P11" i="21" s="1"/>
  <c r="R12" i="21"/>
  <c r="P12" i="21" s="1"/>
  <c r="R13" i="21"/>
  <c r="P13" i="21" s="1"/>
  <c r="R14" i="21"/>
  <c r="P14" i="21" s="1"/>
  <c r="R15" i="21"/>
  <c r="P15" i="21" s="1"/>
  <c r="R16" i="21"/>
  <c r="P16" i="21" s="1"/>
  <c r="R17" i="21"/>
  <c r="P17" i="21" s="1"/>
  <c r="R18" i="21"/>
  <c r="P18" i="21" s="1"/>
  <c r="R19" i="21"/>
  <c r="P19" i="21" s="1"/>
  <c r="R20" i="21"/>
  <c r="P20" i="21" s="1"/>
  <c r="R21" i="21"/>
  <c r="P21" i="21" s="1"/>
  <c r="R22" i="21"/>
  <c r="P22" i="21" s="1"/>
  <c r="R23" i="21"/>
  <c r="P23" i="21" s="1"/>
  <c r="R24" i="21"/>
  <c r="P24" i="21" s="1"/>
  <c r="R25" i="21"/>
  <c r="P25" i="21" s="1"/>
  <c r="R26" i="21"/>
  <c r="P26" i="21" s="1"/>
  <c r="R27" i="21"/>
  <c r="P27" i="21" s="1"/>
  <c r="R28" i="21"/>
  <c r="P28" i="21" s="1"/>
  <c r="R3" i="21"/>
  <c r="P3" i="21" s="1"/>
  <c r="H63" i="21"/>
  <c r="G63" i="21"/>
  <c r="M29" i="21"/>
  <c r="AE29" i="21"/>
  <c r="R29" i="21"/>
  <c r="Q29" i="21"/>
  <c r="AF29" i="21"/>
  <c r="Z29" i="21"/>
  <c r="Y29" i="21"/>
  <c r="U29" i="21"/>
  <c r="X28" i="21"/>
  <c r="X27" i="21"/>
  <c r="X26" i="21"/>
  <c r="X25" i="2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X3" i="21"/>
  <c r="F63" i="21"/>
  <c r="N29" i="21"/>
  <c r="J3" i="21"/>
  <c r="H29" i="21"/>
  <c r="G29" i="21"/>
  <c r="F3" i="21"/>
  <c r="J23" i="21"/>
  <c r="J29" i="21" s="1"/>
  <c r="F24" i="21"/>
  <c r="F25" i="21"/>
  <c r="F26" i="21"/>
  <c r="F27" i="21"/>
  <c r="F28" i="21"/>
  <c r="C29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0"/>
  <c r="N4" i="20"/>
  <c r="C4" i="20" s="1"/>
  <c r="F4" i="20" s="1"/>
  <c r="N5" i="20"/>
  <c r="N6" i="20"/>
  <c r="C6" i="20" s="1"/>
  <c r="F6" i="20" s="1"/>
  <c r="N7" i="20"/>
  <c r="N8" i="20"/>
  <c r="C8" i="20" s="1"/>
  <c r="F8" i="20" s="1"/>
  <c r="N9" i="20"/>
  <c r="N10" i="20"/>
  <c r="P21" i="20"/>
  <c r="P22" i="20"/>
  <c r="P23" i="20"/>
  <c r="P24" i="20"/>
  <c r="P25" i="20"/>
  <c r="P26" i="20"/>
  <c r="P20" i="20"/>
  <c r="Q27" i="20"/>
  <c r="O27" i="20"/>
  <c r="P27" i="20" s="1"/>
  <c r="C5" i="20"/>
  <c r="F5" i="20" s="1"/>
  <c r="C7" i="20"/>
  <c r="F7" i="20" s="1"/>
  <c r="C9" i="20"/>
  <c r="C3" i="20"/>
  <c r="AC10" i="20"/>
  <c r="U7" i="20"/>
  <c r="U5" i="20"/>
  <c r="U9" i="20"/>
  <c r="AB10" i="20"/>
  <c r="W10" i="20"/>
  <c r="V10" i="20"/>
  <c r="U8" i="20"/>
  <c r="U6" i="20"/>
  <c r="U4" i="20"/>
  <c r="M10" i="20"/>
  <c r="H10" i="20"/>
  <c r="G10" i="20"/>
  <c r="O37" i="19"/>
  <c r="O36" i="19"/>
  <c r="O34" i="19"/>
  <c r="O33" i="19"/>
  <c r="N53" i="19"/>
  <c r="M53" i="19"/>
  <c r="AD24" i="19"/>
  <c r="C12" i="19"/>
  <c r="N24" i="19"/>
  <c r="AC4" i="19"/>
  <c r="AC5" i="19"/>
  <c r="AC7" i="19"/>
  <c r="AC8" i="19"/>
  <c r="M24" i="19"/>
  <c r="C4" i="19"/>
  <c r="C5" i="19"/>
  <c r="C6" i="19"/>
  <c r="C7" i="19"/>
  <c r="C8" i="19"/>
  <c r="C9" i="19"/>
  <c r="C10" i="19"/>
  <c r="C11" i="19"/>
  <c r="C13" i="19"/>
  <c r="C14" i="19"/>
  <c r="C15" i="19"/>
  <c r="C16" i="19"/>
  <c r="C17" i="19"/>
  <c r="C18" i="19"/>
  <c r="C19" i="19"/>
  <c r="C20" i="19"/>
  <c r="C21" i="19"/>
  <c r="C22" i="19"/>
  <c r="F22" i="19" s="1"/>
  <c r="C23" i="19"/>
  <c r="C3" i="19"/>
  <c r="P24" i="19"/>
  <c r="X24" i="19"/>
  <c r="W24" i="19"/>
  <c r="S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Z9" i="19"/>
  <c r="AA9" i="19" s="1"/>
  <c r="V9" i="19"/>
  <c r="V8" i="19"/>
  <c r="V7" i="19"/>
  <c r="V6" i="19"/>
  <c r="V5" i="19"/>
  <c r="V4" i="19"/>
  <c r="Z3" i="19"/>
  <c r="V3" i="19"/>
  <c r="H24" i="19"/>
  <c r="G24" i="19"/>
  <c r="F3" i="19"/>
  <c r="F23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P55" i="17"/>
  <c r="N68" i="17"/>
  <c r="AD68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76" i="17"/>
  <c r="N77" i="17"/>
  <c r="N78" i="17"/>
  <c r="P78" i="17" s="1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P91" i="17" s="1"/>
  <c r="N92" i="17"/>
  <c r="N93" i="17"/>
  <c r="N94" i="17"/>
  <c r="N95" i="17"/>
  <c r="N96" i="17"/>
  <c r="N97" i="17"/>
  <c r="N98" i="17"/>
  <c r="N99" i="17"/>
  <c r="N100" i="17"/>
  <c r="P100" i="17" s="1"/>
  <c r="N101" i="17"/>
  <c r="N102" i="17"/>
  <c r="P102" i="17" s="1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P120" i="17" s="1"/>
  <c r="N121" i="17"/>
  <c r="N122" i="17"/>
  <c r="P122" i="17" s="1"/>
  <c r="N123" i="17"/>
  <c r="N124" i="17"/>
  <c r="P124" i="17" s="1"/>
  <c r="N125" i="17"/>
  <c r="N126" i="17"/>
  <c r="P126" i="17" s="1"/>
  <c r="N127" i="17"/>
  <c r="N128" i="17"/>
  <c r="N129" i="17"/>
  <c r="P129" i="17" s="1"/>
  <c r="N130" i="17"/>
  <c r="N131" i="17"/>
  <c r="N132" i="17"/>
  <c r="N133" i="17"/>
  <c r="N134" i="17"/>
  <c r="N135" i="17"/>
  <c r="N136" i="17"/>
  <c r="N137" i="17"/>
  <c r="N138" i="17"/>
  <c r="N139" i="17"/>
  <c r="N140" i="17"/>
  <c r="N76" i="17"/>
  <c r="P76" i="17" s="1"/>
  <c r="P77" i="17"/>
  <c r="P79" i="17"/>
  <c r="P81" i="17"/>
  <c r="P82" i="17"/>
  <c r="P83" i="17"/>
  <c r="P84" i="17"/>
  <c r="P85" i="17"/>
  <c r="P86" i="17"/>
  <c r="P87" i="17"/>
  <c r="P88" i="17"/>
  <c r="P89" i="17"/>
  <c r="P92" i="17"/>
  <c r="P93" i="17"/>
  <c r="P94" i="17"/>
  <c r="P95" i="17"/>
  <c r="P96" i="17"/>
  <c r="P97" i="17"/>
  <c r="P99" i="17"/>
  <c r="P101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21" i="17"/>
  <c r="P123" i="17"/>
  <c r="P125" i="17"/>
  <c r="P127" i="17"/>
  <c r="P131" i="17"/>
  <c r="P133" i="17"/>
  <c r="P134" i="17"/>
  <c r="P135" i="17"/>
  <c r="P136" i="17"/>
  <c r="P137" i="17"/>
  <c r="P138" i="17"/>
  <c r="P139" i="17"/>
  <c r="P140" i="17"/>
  <c r="M141" i="17"/>
  <c r="P3" i="17"/>
  <c r="N153" i="18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V67" i="17"/>
  <c r="O68" i="17"/>
  <c r="AC68" i="17"/>
  <c r="X68" i="17"/>
  <c r="W68" i="17"/>
  <c r="S68" i="17"/>
  <c r="N141" i="17" s="1"/>
  <c r="Z66" i="17"/>
  <c r="V66" i="17"/>
  <c r="V65" i="17"/>
  <c r="V64" i="17"/>
  <c r="Z63" i="17"/>
  <c r="V63" i="17"/>
  <c r="V62" i="17"/>
  <c r="V61" i="17"/>
  <c r="V60" i="17"/>
  <c r="V59" i="17"/>
  <c r="Z58" i="17"/>
  <c r="V58" i="17"/>
  <c r="V57" i="17"/>
  <c r="V56" i="17"/>
  <c r="Z55" i="17"/>
  <c r="V55" i="17"/>
  <c r="V54" i="17"/>
  <c r="V53" i="17"/>
  <c r="V52" i="17"/>
  <c r="V51" i="17"/>
  <c r="Z50" i="17"/>
  <c r="V50" i="17"/>
  <c r="V49" i="17"/>
  <c r="V48" i="17"/>
  <c r="V47" i="17"/>
  <c r="Z46" i="17"/>
  <c r="V46" i="17"/>
  <c r="V45" i="17"/>
  <c r="V44" i="17"/>
  <c r="V43" i="17"/>
  <c r="Z42" i="17"/>
  <c r="AA42" i="17" s="1"/>
  <c r="AB42" i="17" s="1"/>
  <c r="V42" i="17"/>
  <c r="V41" i="17"/>
  <c r="V40" i="17"/>
  <c r="V39" i="17"/>
  <c r="Z38" i="17"/>
  <c r="V38" i="17"/>
  <c r="V37" i="17"/>
  <c r="V36" i="17"/>
  <c r="Z35" i="17"/>
  <c r="V35" i="17"/>
  <c r="Z34" i="17"/>
  <c r="V34" i="17"/>
  <c r="Z33" i="17"/>
  <c r="V33" i="17"/>
  <c r="V32" i="17"/>
  <c r="V31" i="17"/>
  <c r="V30" i="17"/>
  <c r="V29" i="17"/>
  <c r="V28" i="17"/>
  <c r="V27" i="17"/>
  <c r="V26" i="17"/>
  <c r="Z25" i="17"/>
  <c r="V25" i="17"/>
  <c r="V24" i="17"/>
  <c r="V23" i="17"/>
  <c r="Z22" i="17"/>
  <c r="V22" i="17"/>
  <c r="V21" i="17"/>
  <c r="Z20" i="17"/>
  <c r="V20" i="17"/>
  <c r="V19" i="17"/>
  <c r="Z18" i="17"/>
  <c r="V18" i="17"/>
  <c r="V17" i="17"/>
  <c r="V16" i="17"/>
  <c r="V15" i="17"/>
  <c r="V14" i="17"/>
  <c r="V13" i="17"/>
  <c r="V12" i="17"/>
  <c r="Z11" i="17"/>
  <c r="V11" i="17"/>
  <c r="V10" i="17"/>
  <c r="V9" i="17"/>
  <c r="V8" i="17"/>
  <c r="V7" i="17"/>
  <c r="V6" i="17"/>
  <c r="V5" i="17"/>
  <c r="V4" i="17"/>
  <c r="Z3" i="17"/>
  <c r="V3" i="17"/>
  <c r="N4" i="18"/>
  <c r="S85" i="18" s="1"/>
  <c r="N5" i="18"/>
  <c r="O5" i="18" s="1"/>
  <c r="X86" i="18" s="1"/>
  <c r="N6" i="18"/>
  <c r="S87" i="18" s="1"/>
  <c r="N7" i="18"/>
  <c r="O7" i="18" s="1"/>
  <c r="X88" i="18" s="1"/>
  <c r="N8" i="18"/>
  <c r="S89" i="18" s="1"/>
  <c r="N9" i="18"/>
  <c r="O9" i="18" s="1"/>
  <c r="X90" i="18" s="1"/>
  <c r="N10" i="18"/>
  <c r="S91" i="18" s="1"/>
  <c r="N11" i="18"/>
  <c r="O11" i="18" s="1"/>
  <c r="X92" i="18" s="1"/>
  <c r="N12" i="18"/>
  <c r="S93" i="18" s="1"/>
  <c r="N13" i="18"/>
  <c r="O13" i="18" s="1"/>
  <c r="X94" i="18" s="1"/>
  <c r="N14" i="18"/>
  <c r="S95" i="18" s="1"/>
  <c r="N15" i="18"/>
  <c r="O15" i="18" s="1"/>
  <c r="X96" i="18" s="1"/>
  <c r="N16" i="18"/>
  <c r="S97" i="18" s="1"/>
  <c r="N17" i="18"/>
  <c r="O17" i="18" s="1"/>
  <c r="X98" i="18" s="1"/>
  <c r="N18" i="18"/>
  <c r="S99" i="18" s="1"/>
  <c r="N19" i="18"/>
  <c r="O19" i="18" s="1"/>
  <c r="X100" i="18" s="1"/>
  <c r="N20" i="18"/>
  <c r="S101" i="18" s="1"/>
  <c r="N21" i="18"/>
  <c r="O21" i="18" s="1"/>
  <c r="X102" i="18" s="1"/>
  <c r="N22" i="18"/>
  <c r="S103" i="18" s="1"/>
  <c r="N23" i="18"/>
  <c r="O23" i="18" s="1"/>
  <c r="X104" i="18" s="1"/>
  <c r="N24" i="18"/>
  <c r="S105" i="18" s="1"/>
  <c r="N25" i="18"/>
  <c r="O25" i="18" s="1"/>
  <c r="X106" i="18" s="1"/>
  <c r="N26" i="18"/>
  <c r="S107" i="18" s="1"/>
  <c r="N27" i="18"/>
  <c r="O27" i="18" s="1"/>
  <c r="X108" i="18" s="1"/>
  <c r="N28" i="18"/>
  <c r="S109" i="18" s="1"/>
  <c r="N29" i="18"/>
  <c r="O29" i="18" s="1"/>
  <c r="X110" i="18" s="1"/>
  <c r="N30" i="18"/>
  <c r="S111" i="18" s="1"/>
  <c r="N31" i="18"/>
  <c r="O31" i="18" s="1"/>
  <c r="X112" i="18" s="1"/>
  <c r="N32" i="18"/>
  <c r="S113" i="18" s="1"/>
  <c r="N33" i="18"/>
  <c r="O33" i="18" s="1"/>
  <c r="X114" i="18" s="1"/>
  <c r="N34" i="18"/>
  <c r="S115" i="18" s="1"/>
  <c r="N35" i="18"/>
  <c r="O35" i="18" s="1"/>
  <c r="X116" i="18" s="1"/>
  <c r="N36" i="18"/>
  <c r="S117" i="18" s="1"/>
  <c r="N37" i="18"/>
  <c r="O37" i="18" s="1"/>
  <c r="X118" i="18" s="1"/>
  <c r="N38" i="18"/>
  <c r="S119" i="18" s="1"/>
  <c r="N39" i="18"/>
  <c r="O39" i="18" s="1"/>
  <c r="X120" i="18" s="1"/>
  <c r="N40" i="18"/>
  <c r="S121" i="18" s="1"/>
  <c r="N41" i="18"/>
  <c r="O41" i="18" s="1"/>
  <c r="X122" i="18" s="1"/>
  <c r="N42" i="18"/>
  <c r="S123" i="18" s="1"/>
  <c r="N43" i="18"/>
  <c r="O43" i="18" s="1"/>
  <c r="X124" i="18" s="1"/>
  <c r="N44" i="18"/>
  <c r="S125" i="18" s="1"/>
  <c r="N45" i="18"/>
  <c r="O45" i="18" s="1"/>
  <c r="X126" i="18" s="1"/>
  <c r="N46" i="18"/>
  <c r="S127" i="18" s="1"/>
  <c r="N47" i="18"/>
  <c r="O47" i="18" s="1"/>
  <c r="X128" i="18" s="1"/>
  <c r="N48" i="18"/>
  <c r="S129" i="18" s="1"/>
  <c r="N49" i="18"/>
  <c r="O49" i="18" s="1"/>
  <c r="X130" i="18" s="1"/>
  <c r="N50" i="18"/>
  <c r="S131" i="18" s="1"/>
  <c r="N51" i="18"/>
  <c r="O51" i="18" s="1"/>
  <c r="X132" i="18" s="1"/>
  <c r="N52" i="18"/>
  <c r="S133" i="18" s="1"/>
  <c r="N53" i="18"/>
  <c r="O53" i="18" s="1"/>
  <c r="X134" i="18" s="1"/>
  <c r="N54" i="18"/>
  <c r="S135" i="18" s="1"/>
  <c r="N55" i="18"/>
  <c r="O55" i="18" s="1"/>
  <c r="X136" i="18" s="1"/>
  <c r="N56" i="18"/>
  <c r="S137" i="18" s="1"/>
  <c r="N57" i="18"/>
  <c r="O57" i="18" s="1"/>
  <c r="X138" i="18" s="1"/>
  <c r="N58" i="18"/>
  <c r="S139" i="18" s="1"/>
  <c r="N59" i="18"/>
  <c r="O59" i="18" s="1"/>
  <c r="X140" i="18" s="1"/>
  <c r="N60" i="18"/>
  <c r="S141" i="18" s="1"/>
  <c r="N61" i="18"/>
  <c r="O61" i="18" s="1"/>
  <c r="X142" i="18" s="1"/>
  <c r="N62" i="18"/>
  <c r="S143" i="18" s="1"/>
  <c r="N63" i="18"/>
  <c r="O63" i="18" s="1"/>
  <c r="X144" i="18" s="1"/>
  <c r="N64" i="18"/>
  <c r="S145" i="18" s="1"/>
  <c r="N65" i="18"/>
  <c r="O65" i="18" s="1"/>
  <c r="X146" i="18" s="1"/>
  <c r="N66" i="18"/>
  <c r="S147" i="18" s="1"/>
  <c r="N67" i="18"/>
  <c r="O67" i="18" s="1"/>
  <c r="X148" i="18" s="1"/>
  <c r="N68" i="18"/>
  <c r="S149" i="18" s="1"/>
  <c r="N69" i="18"/>
  <c r="O69" i="18" s="1"/>
  <c r="X150" i="18" s="1"/>
  <c r="N70" i="18"/>
  <c r="S151" i="18" s="1"/>
  <c r="N71" i="18"/>
  <c r="O71" i="18" s="1"/>
  <c r="X152" i="18" s="1"/>
  <c r="N3" i="18"/>
  <c r="S84" i="18" s="1"/>
  <c r="T57" i="18"/>
  <c r="C57" i="18"/>
  <c r="F137" i="18"/>
  <c r="C65" i="18" s="1"/>
  <c r="O3" i="18"/>
  <c r="X84" i="18" s="1"/>
  <c r="O4" i="18"/>
  <c r="X85" i="18" s="1"/>
  <c r="O6" i="18"/>
  <c r="X87" i="18" s="1"/>
  <c r="O8" i="18"/>
  <c r="X89" i="18" s="1"/>
  <c r="O10" i="18"/>
  <c r="X91" i="18" s="1"/>
  <c r="O12" i="18"/>
  <c r="X93" i="18" s="1"/>
  <c r="O14" i="18"/>
  <c r="X95" i="18" s="1"/>
  <c r="O16" i="18"/>
  <c r="X97" i="18" s="1"/>
  <c r="O18" i="18"/>
  <c r="X99" i="18" s="1"/>
  <c r="O20" i="18"/>
  <c r="X101" i="18" s="1"/>
  <c r="O22" i="18"/>
  <c r="X103" i="18" s="1"/>
  <c r="O24" i="18"/>
  <c r="X105" i="18" s="1"/>
  <c r="O26" i="18"/>
  <c r="X107" i="18" s="1"/>
  <c r="O28" i="18"/>
  <c r="X109" i="18" s="1"/>
  <c r="O30" i="18"/>
  <c r="X111" i="18" s="1"/>
  <c r="O32" i="18"/>
  <c r="X113" i="18" s="1"/>
  <c r="O34" i="18"/>
  <c r="X115" i="18" s="1"/>
  <c r="O36" i="18"/>
  <c r="X117" i="18" s="1"/>
  <c r="O38" i="18"/>
  <c r="X119" i="18" s="1"/>
  <c r="O40" i="18"/>
  <c r="X121" i="18" s="1"/>
  <c r="O42" i="18"/>
  <c r="X123" i="18" s="1"/>
  <c r="O44" i="18"/>
  <c r="X125" i="18" s="1"/>
  <c r="O46" i="18"/>
  <c r="X127" i="18" s="1"/>
  <c r="O48" i="18"/>
  <c r="X129" i="18" s="1"/>
  <c r="O50" i="18"/>
  <c r="X131" i="18" s="1"/>
  <c r="O52" i="18"/>
  <c r="X133" i="18" s="1"/>
  <c r="O54" i="18"/>
  <c r="X135" i="18" s="1"/>
  <c r="O56" i="18"/>
  <c r="X137" i="18" s="1"/>
  <c r="O58" i="18"/>
  <c r="X139" i="18" s="1"/>
  <c r="O60" i="18"/>
  <c r="X141" i="18" s="1"/>
  <c r="O62" i="18"/>
  <c r="X143" i="18" s="1"/>
  <c r="O64" i="18"/>
  <c r="X145" i="18" s="1"/>
  <c r="O66" i="18"/>
  <c r="X147" i="18" s="1"/>
  <c r="O68" i="18"/>
  <c r="X149" i="18" s="1"/>
  <c r="O70" i="18"/>
  <c r="X151" i="18" s="1"/>
  <c r="N72" i="18"/>
  <c r="S153" i="18" s="1"/>
  <c r="AF4" i="18"/>
  <c r="AE4" i="18" s="1"/>
  <c r="AF5" i="18"/>
  <c r="AF6" i="18"/>
  <c r="AE6" i="18" s="1"/>
  <c r="AF7" i="18"/>
  <c r="AE7" i="18" s="1"/>
  <c r="AF8" i="18"/>
  <c r="AE8" i="18" s="1"/>
  <c r="AF9" i="18"/>
  <c r="AE9" i="18" s="1"/>
  <c r="AF10" i="18"/>
  <c r="AE10" i="18" s="1"/>
  <c r="AF11" i="18"/>
  <c r="AE11" i="18" s="1"/>
  <c r="AF12" i="18"/>
  <c r="AE12" i="18" s="1"/>
  <c r="AF13" i="18"/>
  <c r="AE13" i="18" s="1"/>
  <c r="AF14" i="18"/>
  <c r="AE14" i="18" s="1"/>
  <c r="AF15" i="18"/>
  <c r="AE15" i="18" s="1"/>
  <c r="AF16" i="18"/>
  <c r="AE16" i="18" s="1"/>
  <c r="AF17" i="18"/>
  <c r="AE17" i="18" s="1"/>
  <c r="AF18" i="18"/>
  <c r="AE18" i="18" s="1"/>
  <c r="AF19" i="18"/>
  <c r="AE19" i="18" s="1"/>
  <c r="AF20" i="18"/>
  <c r="AE20" i="18" s="1"/>
  <c r="AF21" i="18"/>
  <c r="AE21" i="18" s="1"/>
  <c r="AF22" i="18"/>
  <c r="AE22" i="18" s="1"/>
  <c r="AF23" i="18"/>
  <c r="AE23" i="18" s="1"/>
  <c r="AF24" i="18"/>
  <c r="AE24" i="18" s="1"/>
  <c r="AF25" i="18"/>
  <c r="AE25" i="18" s="1"/>
  <c r="AF26" i="18"/>
  <c r="AE26" i="18" s="1"/>
  <c r="AF27" i="18"/>
  <c r="AE27" i="18" s="1"/>
  <c r="AF28" i="18"/>
  <c r="AE28" i="18" s="1"/>
  <c r="AF29" i="18"/>
  <c r="AE29" i="18" s="1"/>
  <c r="AF30" i="18"/>
  <c r="AE30" i="18" s="1"/>
  <c r="AF31" i="18"/>
  <c r="AE31" i="18" s="1"/>
  <c r="AF32" i="18"/>
  <c r="AE32" i="18" s="1"/>
  <c r="AF33" i="18"/>
  <c r="AE33" i="18" s="1"/>
  <c r="AF34" i="18"/>
  <c r="AE34" i="18" s="1"/>
  <c r="AF35" i="18"/>
  <c r="AE35" i="18" s="1"/>
  <c r="AF36" i="18"/>
  <c r="AE36" i="18" s="1"/>
  <c r="AF37" i="18"/>
  <c r="AE37" i="18" s="1"/>
  <c r="AF38" i="18"/>
  <c r="AE38" i="18" s="1"/>
  <c r="AF39" i="18"/>
  <c r="AE39" i="18" s="1"/>
  <c r="AF40" i="18"/>
  <c r="AE40" i="18" s="1"/>
  <c r="AF41" i="18"/>
  <c r="AE41" i="18" s="1"/>
  <c r="AF42" i="18"/>
  <c r="AE42" i="18" s="1"/>
  <c r="AF43" i="18"/>
  <c r="AE43" i="18" s="1"/>
  <c r="AF44" i="18"/>
  <c r="AE44" i="18" s="1"/>
  <c r="AF45" i="18"/>
  <c r="AE45" i="18" s="1"/>
  <c r="AF46" i="18"/>
  <c r="AE46" i="18" s="1"/>
  <c r="AF47" i="18"/>
  <c r="AE47" i="18" s="1"/>
  <c r="AF48" i="18"/>
  <c r="AE48" i="18" s="1"/>
  <c r="AF49" i="18"/>
  <c r="AE49" i="18" s="1"/>
  <c r="AF50" i="18"/>
  <c r="AE50" i="18" s="1"/>
  <c r="AF51" i="18"/>
  <c r="AE51" i="18" s="1"/>
  <c r="AF52" i="18"/>
  <c r="AE52" i="18" s="1"/>
  <c r="AF53" i="18"/>
  <c r="AE53" i="18" s="1"/>
  <c r="AF54" i="18"/>
  <c r="AE54" i="18" s="1"/>
  <c r="AF55" i="18"/>
  <c r="AE55" i="18" s="1"/>
  <c r="AF56" i="18"/>
  <c r="AE56" i="18" s="1"/>
  <c r="AF57" i="18"/>
  <c r="AE57" i="18" s="1"/>
  <c r="AF58" i="18"/>
  <c r="AE58" i="18" s="1"/>
  <c r="AF59" i="18"/>
  <c r="AE59" i="18" s="1"/>
  <c r="AF60" i="18"/>
  <c r="AE60" i="18" s="1"/>
  <c r="AF61" i="18"/>
  <c r="AE61" i="18" s="1"/>
  <c r="AF62" i="18"/>
  <c r="AE62" i="18" s="1"/>
  <c r="AF63" i="18"/>
  <c r="AE63" i="18" s="1"/>
  <c r="AF64" i="18"/>
  <c r="AE64" i="18" s="1"/>
  <c r="AF65" i="18"/>
  <c r="AE65" i="18" s="1"/>
  <c r="AF66" i="18"/>
  <c r="AE66" i="18" s="1"/>
  <c r="AF67" i="18"/>
  <c r="AE67" i="18" s="1"/>
  <c r="AF68" i="18"/>
  <c r="AE68" i="18" s="1"/>
  <c r="AF69" i="18"/>
  <c r="AE69" i="18" s="1"/>
  <c r="AF70" i="18"/>
  <c r="AE70" i="18" s="1"/>
  <c r="AF71" i="18"/>
  <c r="AE71" i="18" s="1"/>
  <c r="AF3" i="18"/>
  <c r="AE3" i="18" s="1"/>
  <c r="T4" i="18"/>
  <c r="W4" i="18" s="1"/>
  <c r="T5" i="18"/>
  <c r="C5" i="18" s="1"/>
  <c r="F5" i="18" s="1"/>
  <c r="T6" i="18"/>
  <c r="W6" i="18" s="1"/>
  <c r="T7" i="18"/>
  <c r="C7" i="18" s="1"/>
  <c r="T8" i="18"/>
  <c r="C8" i="18" s="1"/>
  <c r="F8" i="18" s="1"/>
  <c r="T9" i="18"/>
  <c r="C9" i="18" s="1"/>
  <c r="F9" i="18" s="1"/>
  <c r="T10" i="18"/>
  <c r="C10" i="18" s="1"/>
  <c r="T11" i="18"/>
  <c r="C11" i="18" s="1"/>
  <c r="T12" i="18"/>
  <c r="C12" i="18" s="1"/>
  <c r="F12" i="18" s="1"/>
  <c r="T13" i="18"/>
  <c r="C13" i="18" s="1"/>
  <c r="F13" i="18" s="1"/>
  <c r="T14" i="18"/>
  <c r="C14" i="18" s="1"/>
  <c r="T15" i="18"/>
  <c r="C15" i="18" s="1"/>
  <c r="F15" i="18" s="1"/>
  <c r="T16" i="18"/>
  <c r="C16" i="18" s="1"/>
  <c r="F16" i="18" s="1"/>
  <c r="T17" i="18"/>
  <c r="C17" i="18" s="1"/>
  <c r="F17" i="18" s="1"/>
  <c r="T18" i="18"/>
  <c r="C18" i="18" s="1"/>
  <c r="T19" i="18"/>
  <c r="C19" i="18" s="1"/>
  <c r="F19" i="18" s="1"/>
  <c r="T20" i="18"/>
  <c r="C20" i="18" s="1"/>
  <c r="F20" i="18" s="1"/>
  <c r="T21" i="18"/>
  <c r="C21" i="18" s="1"/>
  <c r="T22" i="18"/>
  <c r="C22" i="18" s="1"/>
  <c r="T23" i="18"/>
  <c r="C23" i="18" s="1"/>
  <c r="F23" i="18" s="1"/>
  <c r="T24" i="18"/>
  <c r="C24" i="18" s="1"/>
  <c r="F24" i="18" s="1"/>
  <c r="T25" i="18"/>
  <c r="W25" i="18" s="1"/>
  <c r="T26" i="18"/>
  <c r="W26" i="18" s="1"/>
  <c r="T27" i="18"/>
  <c r="C27" i="18" s="1"/>
  <c r="F27" i="18" s="1"/>
  <c r="T28" i="18"/>
  <c r="C28" i="18" s="1"/>
  <c r="F28" i="18" s="1"/>
  <c r="T29" i="18"/>
  <c r="C29" i="18" s="1"/>
  <c r="F29" i="18" s="1"/>
  <c r="T30" i="18"/>
  <c r="C30" i="18" s="1"/>
  <c r="T31" i="18"/>
  <c r="C31" i="18" s="1"/>
  <c r="F31" i="18" s="1"/>
  <c r="T32" i="18"/>
  <c r="C32" i="18" s="1"/>
  <c r="T33" i="18"/>
  <c r="C33" i="18" s="1"/>
  <c r="F33" i="18" s="1"/>
  <c r="T34" i="18"/>
  <c r="W34" i="18" s="1"/>
  <c r="T35" i="18"/>
  <c r="W35" i="18" s="1"/>
  <c r="T36" i="18"/>
  <c r="W36" i="18" s="1"/>
  <c r="T37" i="18"/>
  <c r="W37" i="18" s="1"/>
  <c r="T38" i="18"/>
  <c r="C38" i="18" s="1"/>
  <c r="F38" i="18" s="1"/>
  <c r="T39" i="18"/>
  <c r="W39" i="18" s="1"/>
  <c r="T40" i="18"/>
  <c r="C40" i="18" s="1"/>
  <c r="F40" i="18" s="1"/>
  <c r="T41" i="18"/>
  <c r="W41" i="18" s="1"/>
  <c r="T42" i="18"/>
  <c r="C42" i="18" s="1"/>
  <c r="F42" i="18" s="1"/>
  <c r="T43" i="18"/>
  <c r="W43" i="18" s="1"/>
  <c r="T44" i="18"/>
  <c r="W44" i="18" s="1"/>
  <c r="T45" i="18"/>
  <c r="W45" i="18" s="1"/>
  <c r="T46" i="18"/>
  <c r="C46" i="18" s="1"/>
  <c r="F46" i="18" s="1"/>
  <c r="T47" i="18"/>
  <c r="C47" i="18" s="1"/>
  <c r="F47" i="18" s="1"/>
  <c r="T48" i="18"/>
  <c r="C48" i="18" s="1"/>
  <c r="F48" i="18" s="1"/>
  <c r="T49" i="18"/>
  <c r="C49" i="18" s="1"/>
  <c r="F49" i="18" s="1"/>
  <c r="T50" i="18"/>
  <c r="C50" i="18" s="1"/>
  <c r="F50" i="18" s="1"/>
  <c r="T51" i="18"/>
  <c r="C51" i="18" s="1"/>
  <c r="F51" i="18" s="1"/>
  <c r="T52" i="18"/>
  <c r="C52" i="18" s="1"/>
  <c r="F52" i="18" s="1"/>
  <c r="T53" i="18"/>
  <c r="C53" i="18" s="1"/>
  <c r="F53" i="18" s="1"/>
  <c r="T54" i="18"/>
  <c r="C54" i="18" s="1"/>
  <c r="F54" i="18" s="1"/>
  <c r="T55" i="18"/>
  <c r="C55" i="18" s="1"/>
  <c r="T56" i="18"/>
  <c r="W56" i="18" s="1"/>
  <c r="W57" i="18"/>
  <c r="T58" i="18"/>
  <c r="W58" i="18" s="1"/>
  <c r="T59" i="18"/>
  <c r="W59" i="18" s="1"/>
  <c r="T60" i="18"/>
  <c r="C60" i="18" s="1"/>
  <c r="F60" i="18" s="1"/>
  <c r="T61" i="18"/>
  <c r="W61" i="18" s="1"/>
  <c r="T62" i="18"/>
  <c r="C62" i="18" s="1"/>
  <c r="F62" i="18" s="1"/>
  <c r="T63" i="18"/>
  <c r="W63" i="18" s="1"/>
  <c r="T64" i="18"/>
  <c r="C64" i="18" s="1"/>
  <c r="F64" i="18" s="1"/>
  <c r="T65" i="18"/>
  <c r="AA65" i="18" s="1"/>
  <c r="T66" i="18"/>
  <c r="C66" i="18" s="1"/>
  <c r="T67" i="18"/>
  <c r="W67" i="18" s="1"/>
  <c r="T68" i="18"/>
  <c r="C68" i="18" s="1"/>
  <c r="F68" i="18" s="1"/>
  <c r="T69" i="18"/>
  <c r="W69" i="18" s="1"/>
  <c r="T70" i="18"/>
  <c r="C70" i="18" s="1"/>
  <c r="F70" i="18" s="1"/>
  <c r="T71" i="18"/>
  <c r="W71" i="18" s="1"/>
  <c r="T3" i="18"/>
  <c r="W3" i="18" s="1"/>
  <c r="AD72" i="18"/>
  <c r="Y72" i="18"/>
  <c r="X72" i="18"/>
  <c r="W70" i="18"/>
  <c r="W66" i="18"/>
  <c r="W65" i="18"/>
  <c r="W64" i="18"/>
  <c r="W62" i="18"/>
  <c r="W60" i="18"/>
  <c r="W55" i="18"/>
  <c r="W54" i="18"/>
  <c r="W53" i="18"/>
  <c r="W52" i="18"/>
  <c r="W51" i="18"/>
  <c r="W50" i="18"/>
  <c r="W49" i="18"/>
  <c r="W48" i="18"/>
  <c r="W47" i="18"/>
  <c r="W46" i="18"/>
  <c r="AA44" i="18"/>
  <c r="W42" i="18"/>
  <c r="W40" i="18"/>
  <c r="W38" i="18"/>
  <c r="W33" i="18"/>
  <c r="W32" i="18"/>
  <c r="W31" i="18"/>
  <c r="W30" i="18"/>
  <c r="W29" i="18"/>
  <c r="W28" i="18"/>
  <c r="W27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5" i="18"/>
  <c r="D155" i="18"/>
  <c r="C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155" i="18" s="1"/>
  <c r="E86" i="18"/>
  <c r="H72" i="18"/>
  <c r="M72" i="18"/>
  <c r="F57" i="18"/>
  <c r="F30" i="18"/>
  <c r="F22" i="18"/>
  <c r="F18" i="18"/>
  <c r="F14" i="18"/>
  <c r="F11" i="18"/>
  <c r="F10" i="18"/>
  <c r="F7" i="18"/>
  <c r="J55" i="17"/>
  <c r="J46" i="17"/>
  <c r="J42" i="17"/>
  <c r="J38" i="17"/>
  <c r="J35" i="17"/>
  <c r="J34" i="17"/>
  <c r="J33" i="17"/>
  <c r="J25" i="17"/>
  <c r="J22" i="17"/>
  <c r="J20" i="17"/>
  <c r="J18" i="17"/>
  <c r="J11" i="17"/>
  <c r="J3" i="17"/>
  <c r="J63" i="17"/>
  <c r="J66" i="17"/>
  <c r="J58" i="17"/>
  <c r="G68" i="17"/>
  <c r="F66" i="18" l="1"/>
  <c r="J18" i="18"/>
  <c r="J14" i="18"/>
  <c r="J10" i="18"/>
  <c r="J65" i="18"/>
  <c r="F65" i="18"/>
  <c r="K65" i="18" s="1"/>
  <c r="L65" i="18" s="1"/>
  <c r="F21" i="18"/>
  <c r="F32" i="18"/>
  <c r="F55" i="18"/>
  <c r="C58" i="18"/>
  <c r="F58" i="18" s="1"/>
  <c r="C34" i="18"/>
  <c r="F34" i="18" s="1"/>
  <c r="C26" i="18"/>
  <c r="C6" i="18"/>
  <c r="F6" i="18" s="1"/>
  <c r="S150" i="18"/>
  <c r="S146" i="18"/>
  <c r="S142" i="18"/>
  <c r="S138" i="18"/>
  <c r="S134" i="18"/>
  <c r="S130" i="18"/>
  <c r="S126" i="18"/>
  <c r="S122" i="18"/>
  <c r="S118" i="18"/>
  <c r="S114" i="18"/>
  <c r="S110" i="18"/>
  <c r="S106" i="18"/>
  <c r="S102" i="18"/>
  <c r="S98" i="18"/>
  <c r="S94" i="18"/>
  <c r="S90" i="18"/>
  <c r="S86" i="18"/>
  <c r="V24" i="24"/>
  <c r="C69" i="18"/>
  <c r="F69" i="18" s="1"/>
  <c r="C61" i="18"/>
  <c r="F61" i="18" s="1"/>
  <c r="C45" i="18"/>
  <c r="C41" i="18"/>
  <c r="F41" i="18" s="1"/>
  <c r="C37" i="18"/>
  <c r="F37" i="18" s="1"/>
  <c r="C25" i="18"/>
  <c r="F25" i="18" s="1"/>
  <c r="AA22" i="17"/>
  <c r="AA63" i="17"/>
  <c r="AB63" i="17" s="1"/>
  <c r="AA66" i="17"/>
  <c r="AB66" i="17" s="1"/>
  <c r="O53" i="19"/>
  <c r="J11" i="24"/>
  <c r="W68" i="18"/>
  <c r="AA26" i="18"/>
  <c r="AA14" i="18"/>
  <c r="C3" i="18"/>
  <c r="C56" i="18"/>
  <c r="F56" i="18" s="1"/>
  <c r="C44" i="18"/>
  <c r="C36" i="18"/>
  <c r="F36" i="18" s="1"/>
  <c r="C4" i="18"/>
  <c r="F4" i="18" s="1"/>
  <c r="S152" i="18"/>
  <c r="S148" i="18"/>
  <c r="S144" i="18"/>
  <c r="S140" i="18"/>
  <c r="S136" i="18"/>
  <c r="S132" i="18"/>
  <c r="S128" i="18"/>
  <c r="S124" i="18"/>
  <c r="S120" i="18"/>
  <c r="S116" i="18"/>
  <c r="S112" i="18"/>
  <c r="S108" i="18"/>
  <c r="S104" i="18"/>
  <c r="S100" i="18"/>
  <c r="S96" i="18"/>
  <c r="S92" i="18"/>
  <c r="S88" i="18"/>
  <c r="C71" i="18"/>
  <c r="F71" i="18" s="1"/>
  <c r="C67" i="18"/>
  <c r="F67" i="18" s="1"/>
  <c r="C63" i="18"/>
  <c r="F63" i="18" s="1"/>
  <c r="C59" i="18"/>
  <c r="F59" i="18" s="1"/>
  <c r="C43" i="18"/>
  <c r="F43" i="18" s="1"/>
  <c r="C39" i="18"/>
  <c r="F39" i="18" s="1"/>
  <c r="C35" i="18"/>
  <c r="F35" i="18" s="1"/>
  <c r="N8" i="22"/>
  <c r="K3" i="23"/>
  <c r="L3" i="23" s="1"/>
  <c r="K33" i="27"/>
  <c r="K34" i="27" s="1"/>
  <c r="H34" i="27" s="1"/>
  <c r="K26" i="26"/>
  <c r="L26" i="26" s="1"/>
  <c r="AA3" i="26"/>
  <c r="J7" i="24"/>
  <c r="K7" i="24" s="1"/>
  <c r="L7" i="24" s="1"/>
  <c r="F10" i="24"/>
  <c r="J17" i="24"/>
  <c r="F11" i="24"/>
  <c r="F17" i="24"/>
  <c r="K17" i="24" s="1"/>
  <c r="L17" i="24" s="1"/>
  <c r="J3" i="24"/>
  <c r="K3" i="24" s="1"/>
  <c r="L3" i="24" s="1"/>
  <c r="C24" i="24"/>
  <c r="P28" i="24" s="1"/>
  <c r="Z24" i="24"/>
  <c r="AA7" i="24"/>
  <c r="AB7" i="24" s="1"/>
  <c r="AA11" i="24"/>
  <c r="AB11" i="24" s="1"/>
  <c r="AA14" i="24"/>
  <c r="AB14" i="24" s="1"/>
  <c r="AA17" i="24"/>
  <c r="AB17" i="24" s="1"/>
  <c r="AA3" i="24"/>
  <c r="AA15" i="25"/>
  <c r="AB15" i="25" s="1"/>
  <c r="Z3" i="25"/>
  <c r="Z32" i="25" s="1"/>
  <c r="AA22" i="25"/>
  <c r="AB22" i="25" s="1"/>
  <c r="V32" i="25"/>
  <c r="J3" i="25"/>
  <c r="J32" i="25" s="1"/>
  <c r="K15" i="25"/>
  <c r="L15" i="25" s="1"/>
  <c r="F23" i="25"/>
  <c r="K22" i="25" s="1"/>
  <c r="L22" i="25" s="1"/>
  <c r="F5" i="25"/>
  <c r="C32" i="25"/>
  <c r="AA3" i="25"/>
  <c r="K14" i="24"/>
  <c r="L14" i="24" s="1"/>
  <c r="K11" i="24"/>
  <c r="L11" i="24" s="1"/>
  <c r="AA3" i="22"/>
  <c r="K15" i="23"/>
  <c r="L15" i="23" s="1"/>
  <c r="J26" i="23"/>
  <c r="F26" i="23"/>
  <c r="K3" i="22"/>
  <c r="L3" i="22" s="1"/>
  <c r="K7" i="22"/>
  <c r="L7" i="22" s="1"/>
  <c r="AA7" i="22"/>
  <c r="AB7" i="22" s="1"/>
  <c r="P29" i="21"/>
  <c r="AB29" i="21"/>
  <c r="AC23" i="21"/>
  <c r="AD23" i="21" s="1"/>
  <c r="X29" i="21"/>
  <c r="K3" i="21"/>
  <c r="L3" i="21" s="1"/>
  <c r="AC3" i="21"/>
  <c r="K23" i="21"/>
  <c r="L23" i="21" s="1"/>
  <c r="F29" i="21"/>
  <c r="J3" i="20"/>
  <c r="Y3" i="20"/>
  <c r="Y10" i="20" s="1"/>
  <c r="U3" i="20"/>
  <c r="U10" i="20" s="1"/>
  <c r="R10" i="20"/>
  <c r="C10" i="20"/>
  <c r="F9" i="20"/>
  <c r="F3" i="20"/>
  <c r="C24" i="19"/>
  <c r="AC24" i="19"/>
  <c r="F24" i="19"/>
  <c r="J9" i="19"/>
  <c r="K9" i="19" s="1"/>
  <c r="L9" i="19" s="1"/>
  <c r="J3" i="19"/>
  <c r="K3" i="19" s="1"/>
  <c r="L3" i="19" s="1"/>
  <c r="Z24" i="19"/>
  <c r="AB9" i="19"/>
  <c r="V24" i="19"/>
  <c r="AA3" i="19"/>
  <c r="AA35" i="17"/>
  <c r="AB35" i="17" s="1"/>
  <c r="AA20" i="17"/>
  <c r="AB20" i="17" s="1"/>
  <c r="P128" i="17"/>
  <c r="AA55" i="17"/>
  <c r="AB55" i="17" s="1"/>
  <c r="P130" i="17"/>
  <c r="P119" i="17"/>
  <c r="P98" i="17"/>
  <c r="P90" i="17"/>
  <c r="P103" i="17"/>
  <c r="AA25" i="17"/>
  <c r="AB25" i="17" s="1"/>
  <c r="P132" i="17"/>
  <c r="AA58" i="17"/>
  <c r="AB58" i="17" s="1"/>
  <c r="AA50" i="17"/>
  <c r="AB50" i="17" s="1"/>
  <c r="AA38" i="17"/>
  <c r="AB38" i="17" s="1"/>
  <c r="AA34" i="17"/>
  <c r="AB34" i="17" s="1"/>
  <c r="AA33" i="17"/>
  <c r="AB33" i="17" s="1"/>
  <c r="AA18" i="17"/>
  <c r="AB18" i="17" s="1"/>
  <c r="P80" i="17"/>
  <c r="AA46" i="17"/>
  <c r="AB46" i="17" s="1"/>
  <c r="Z68" i="17"/>
  <c r="V68" i="17"/>
  <c r="AA11" i="17"/>
  <c r="AB11" i="17" s="1"/>
  <c r="AA3" i="17"/>
  <c r="O72" i="18"/>
  <c r="X153" i="18" s="1"/>
  <c r="K14" i="18"/>
  <c r="L14" i="18" s="1"/>
  <c r="K18" i="18"/>
  <c r="L18" i="18" s="1"/>
  <c r="K10" i="18"/>
  <c r="L10" i="18" s="1"/>
  <c r="AA10" i="18"/>
  <c r="AB10" i="18" s="1"/>
  <c r="AC10" i="18" s="1"/>
  <c r="AA18" i="18"/>
  <c r="AB18" i="18" s="1"/>
  <c r="AC18" i="18" s="1"/>
  <c r="AA21" i="18"/>
  <c r="AB21" i="18" s="1"/>
  <c r="AC21" i="18" s="1"/>
  <c r="AA32" i="18"/>
  <c r="AB32" i="18" s="1"/>
  <c r="AC32" i="18" s="1"/>
  <c r="AB65" i="18"/>
  <c r="AC65" i="18" s="1"/>
  <c r="AA55" i="18"/>
  <c r="AB55" i="18" s="1"/>
  <c r="AC55" i="18" s="1"/>
  <c r="AA45" i="18"/>
  <c r="AB45" i="18" s="1"/>
  <c r="AC45" i="18" s="1"/>
  <c r="AB26" i="18"/>
  <c r="AC26" i="18" s="1"/>
  <c r="AB14" i="18"/>
  <c r="AC14" i="18" s="1"/>
  <c r="AF72" i="18"/>
  <c r="AA3" i="18"/>
  <c r="AB3" i="18" s="1"/>
  <c r="AE5" i="18"/>
  <c r="AE72" i="18" s="1"/>
  <c r="AA66" i="18"/>
  <c r="AB66" i="18" s="1"/>
  <c r="AC66" i="18" s="1"/>
  <c r="AB44" i="18"/>
  <c r="AC44" i="18" s="1"/>
  <c r="W72" i="18"/>
  <c r="T72" i="18"/>
  <c r="G72" i="18"/>
  <c r="J26" i="18" l="1"/>
  <c r="F26" i="18"/>
  <c r="J55" i="18"/>
  <c r="K55" i="18" s="1"/>
  <c r="L55" i="18" s="1"/>
  <c r="J21" i="18"/>
  <c r="K21" i="18" s="1"/>
  <c r="L21" i="18" s="1"/>
  <c r="J32" i="18"/>
  <c r="K32" i="18" s="1"/>
  <c r="L32" i="18" s="1"/>
  <c r="J45" i="18"/>
  <c r="F45" i="18"/>
  <c r="J66" i="18"/>
  <c r="K66" i="18" s="1"/>
  <c r="L66" i="18" s="1"/>
  <c r="AB3" i="26"/>
  <c r="J44" i="18"/>
  <c r="F44" i="18"/>
  <c r="K44" i="18" s="1"/>
  <c r="L44" i="18" s="1"/>
  <c r="F32" i="25"/>
  <c r="J24" i="24"/>
  <c r="F24" i="24"/>
  <c r="AA24" i="24"/>
  <c r="AB3" i="24"/>
  <c r="K3" i="25"/>
  <c r="L3" i="25" s="1"/>
  <c r="AA32" i="25"/>
  <c r="AB3" i="25"/>
  <c r="K24" i="24"/>
  <c r="K25" i="24" s="1"/>
  <c r="H25" i="24" s="1"/>
  <c r="K26" i="23"/>
  <c r="K27" i="23" s="1"/>
  <c r="H27" i="23" s="1"/>
  <c r="AB3" i="22"/>
  <c r="K29" i="21"/>
  <c r="AC29" i="21"/>
  <c r="AD3" i="21"/>
  <c r="K3" i="20"/>
  <c r="L3" i="20" s="1"/>
  <c r="Z3" i="20"/>
  <c r="Z10" i="20" s="1"/>
  <c r="F10" i="20"/>
  <c r="J10" i="20"/>
  <c r="J24" i="19"/>
  <c r="K24" i="19"/>
  <c r="K25" i="19" s="1"/>
  <c r="AA24" i="19"/>
  <c r="AB3" i="19"/>
  <c r="AA68" i="17"/>
  <c r="AB3" i="17"/>
  <c r="AC3" i="18"/>
  <c r="AB72" i="18"/>
  <c r="AA72" i="18"/>
  <c r="M68" i="17"/>
  <c r="J50" i="17"/>
  <c r="J68" i="17" s="1"/>
  <c r="H68" i="17"/>
  <c r="C68" i="17"/>
  <c r="O141" i="17" s="1"/>
  <c r="P141" i="17" s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K33" i="17" s="1"/>
  <c r="F34" i="17"/>
  <c r="K34" i="17" s="1"/>
  <c r="L34" i="17" s="1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3" i="17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AA35" i="16"/>
  <c r="AC30" i="16"/>
  <c r="AC28" i="16"/>
  <c r="AC18" i="16"/>
  <c r="AD18" i="16" s="1"/>
  <c r="AC10" i="16"/>
  <c r="AC4" i="16"/>
  <c r="AD4" i="16" s="1"/>
  <c r="AC3" i="16"/>
  <c r="AD3" i="16" s="1"/>
  <c r="Y5" i="16"/>
  <c r="Y4" i="16"/>
  <c r="Y3" i="16"/>
  <c r="Y35" i="16" s="1"/>
  <c r="AF35" i="16"/>
  <c r="Z35" i="16"/>
  <c r="V35" i="16"/>
  <c r="AH34" i="16"/>
  <c r="AG33" i="16"/>
  <c r="AH33" i="16" s="1"/>
  <c r="AH32" i="16"/>
  <c r="AH31" i="16"/>
  <c r="AG30" i="16"/>
  <c r="AH30" i="16" s="1"/>
  <c r="AG29" i="16"/>
  <c r="AH29" i="16" s="1"/>
  <c r="AG28" i="16"/>
  <c r="AH28" i="16" s="1"/>
  <c r="AH27" i="16"/>
  <c r="AG26" i="16"/>
  <c r="AH26" i="16" s="1"/>
  <c r="AH25" i="16"/>
  <c r="AG24" i="16"/>
  <c r="AH24" i="16" s="1"/>
  <c r="AH23" i="16"/>
  <c r="AH22" i="16"/>
  <c r="AG21" i="16"/>
  <c r="AH21" i="16" s="1"/>
  <c r="AG20" i="16"/>
  <c r="AH20" i="16" s="1"/>
  <c r="AH19" i="16"/>
  <c r="AG18" i="16"/>
  <c r="AH18" i="16" s="1"/>
  <c r="AG17" i="16"/>
  <c r="AH17" i="16" s="1"/>
  <c r="AH16" i="16"/>
  <c r="AH15" i="16"/>
  <c r="AG14" i="16"/>
  <c r="AH14" i="16" s="1"/>
  <c r="AH13" i="16"/>
  <c r="AG12" i="16"/>
  <c r="AH12" i="16" s="1"/>
  <c r="AG11" i="16"/>
  <c r="AH11" i="16" s="1"/>
  <c r="AG10" i="16"/>
  <c r="AH10" i="16" s="1"/>
  <c r="AH9" i="16"/>
  <c r="AG8" i="16"/>
  <c r="AH8" i="16" s="1"/>
  <c r="AH7" i="16"/>
  <c r="Y7" i="16"/>
  <c r="AG6" i="16"/>
  <c r="AH6" i="16" s="1"/>
  <c r="Y6" i="16"/>
  <c r="AH5" i="16"/>
  <c r="AH4" i="16"/>
  <c r="AG3" i="16"/>
  <c r="AG35" i="16" s="1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G76" i="16"/>
  <c r="I75" i="16"/>
  <c r="H74" i="16"/>
  <c r="I74" i="16" s="1"/>
  <c r="I73" i="16"/>
  <c r="I72" i="16"/>
  <c r="H71" i="16"/>
  <c r="I71" i="16" s="1"/>
  <c r="I70" i="16"/>
  <c r="H70" i="16"/>
  <c r="H69" i="16"/>
  <c r="I69" i="16" s="1"/>
  <c r="I68" i="16"/>
  <c r="H67" i="16"/>
  <c r="I67" i="16" s="1"/>
  <c r="I66" i="16"/>
  <c r="H65" i="16"/>
  <c r="I65" i="16" s="1"/>
  <c r="I64" i="16"/>
  <c r="I63" i="16"/>
  <c r="H62" i="16"/>
  <c r="I62" i="16" s="1"/>
  <c r="I61" i="16"/>
  <c r="H61" i="16"/>
  <c r="I60" i="16"/>
  <c r="H59" i="16"/>
  <c r="I59" i="16" s="1"/>
  <c r="H58" i="16"/>
  <c r="I58" i="16" s="1"/>
  <c r="I57" i="16"/>
  <c r="I56" i="16"/>
  <c r="H55" i="16"/>
  <c r="I55" i="16" s="1"/>
  <c r="I54" i="16"/>
  <c r="H53" i="16"/>
  <c r="I53" i="16" s="1"/>
  <c r="I52" i="16"/>
  <c r="H52" i="16"/>
  <c r="H51" i="16"/>
  <c r="I51" i="16" s="1"/>
  <c r="I50" i="16"/>
  <c r="H49" i="16"/>
  <c r="I49" i="16" s="1"/>
  <c r="I48" i="16"/>
  <c r="H47" i="16"/>
  <c r="I47" i="16" s="1"/>
  <c r="I46" i="16"/>
  <c r="I45" i="16"/>
  <c r="H44" i="16"/>
  <c r="H76" i="16" s="1"/>
  <c r="N26" i="16"/>
  <c r="O4" i="16"/>
  <c r="O5" i="16"/>
  <c r="O7" i="16"/>
  <c r="O9" i="16"/>
  <c r="O13" i="16"/>
  <c r="O15" i="16"/>
  <c r="O16" i="16"/>
  <c r="O19" i="16"/>
  <c r="O22" i="16"/>
  <c r="O23" i="16"/>
  <c r="O24" i="16"/>
  <c r="O25" i="16"/>
  <c r="O26" i="16"/>
  <c r="O27" i="16"/>
  <c r="O31" i="16"/>
  <c r="O32" i="16"/>
  <c r="O34" i="16"/>
  <c r="N6" i="16"/>
  <c r="O6" i="16" s="1"/>
  <c r="N8" i="16"/>
  <c r="O8" i="16" s="1"/>
  <c r="N10" i="16"/>
  <c r="O10" i="16" s="1"/>
  <c r="N11" i="16"/>
  <c r="O11" i="16" s="1"/>
  <c r="N12" i="16"/>
  <c r="O12" i="16" s="1"/>
  <c r="N14" i="16"/>
  <c r="O14" i="16" s="1"/>
  <c r="N17" i="16"/>
  <c r="O17" i="16" s="1"/>
  <c r="N18" i="16"/>
  <c r="O18" i="16" s="1"/>
  <c r="N20" i="16"/>
  <c r="O20" i="16" s="1"/>
  <c r="N21" i="16"/>
  <c r="O21" i="16" s="1"/>
  <c r="N24" i="16"/>
  <c r="N28" i="16"/>
  <c r="O28" i="16" s="1"/>
  <c r="N29" i="16"/>
  <c r="O29" i="16" s="1"/>
  <c r="N30" i="16"/>
  <c r="O30" i="16" s="1"/>
  <c r="N33" i="16"/>
  <c r="O33" i="16" s="1"/>
  <c r="N3" i="16"/>
  <c r="N35" i="16" s="1"/>
  <c r="M35" i="16"/>
  <c r="J4" i="16"/>
  <c r="J30" i="16"/>
  <c r="J28" i="16"/>
  <c r="K28" i="16" s="1"/>
  <c r="L28" i="16" s="1"/>
  <c r="J18" i="16"/>
  <c r="K18" i="16" s="1"/>
  <c r="L18" i="16" s="1"/>
  <c r="J10" i="16"/>
  <c r="J3" i="16"/>
  <c r="O3" i="16" l="1"/>
  <c r="O35" i="16" s="1"/>
  <c r="I44" i="16"/>
  <c r="I76" i="16" s="1"/>
  <c r="AH3" i="16"/>
  <c r="AC35" i="16"/>
  <c r="K45" i="18"/>
  <c r="L45" i="18" s="1"/>
  <c r="AD30" i="16"/>
  <c r="AD10" i="16"/>
  <c r="AD35" i="16" s="1"/>
  <c r="AD36" i="16" s="1"/>
  <c r="Z36" i="16" s="1"/>
  <c r="K26" i="18"/>
  <c r="L26" i="18" s="1"/>
  <c r="AA25" i="24"/>
  <c r="X25" i="24" s="1"/>
  <c r="K32" i="25"/>
  <c r="K33" i="25" s="1"/>
  <c r="H33" i="25" s="1"/>
  <c r="AA33" i="25"/>
  <c r="X33" i="25" s="1"/>
  <c r="AC30" i="21"/>
  <c r="Z30" i="21" s="1"/>
  <c r="K30" i="21"/>
  <c r="H30" i="21" s="1"/>
  <c r="AA3" i="20"/>
  <c r="Z11" i="20"/>
  <c r="W11" i="20" s="1"/>
  <c r="K10" i="20"/>
  <c r="AA25" i="19"/>
  <c r="X25" i="19" s="1"/>
  <c r="H25" i="19"/>
  <c r="P68" i="17"/>
  <c r="S69" i="17"/>
  <c r="K66" i="17"/>
  <c r="L66" i="17" s="1"/>
  <c r="K3" i="17"/>
  <c r="L3" i="17" s="1"/>
  <c r="AA69" i="17"/>
  <c r="Y69" i="17" s="1"/>
  <c r="K58" i="17"/>
  <c r="L58" i="17" s="1"/>
  <c r="K46" i="17"/>
  <c r="L46" i="17" s="1"/>
  <c r="K42" i="17"/>
  <c r="L42" i="17" s="1"/>
  <c r="K38" i="17"/>
  <c r="L38" i="17" s="1"/>
  <c r="K22" i="17"/>
  <c r="K20" i="17"/>
  <c r="L20" i="17" s="1"/>
  <c r="K18" i="17"/>
  <c r="L18" i="17" s="1"/>
  <c r="K50" i="17"/>
  <c r="L50" i="17" s="1"/>
  <c r="K63" i="17"/>
  <c r="L63" i="17" s="1"/>
  <c r="K55" i="17"/>
  <c r="L55" i="17" s="1"/>
  <c r="K35" i="17"/>
  <c r="L35" i="17" s="1"/>
  <c r="K25" i="17"/>
  <c r="L25" i="17" s="1"/>
  <c r="K11" i="17"/>
  <c r="L11" i="17" s="1"/>
  <c r="F68" i="17"/>
  <c r="K30" i="16"/>
  <c r="L30" i="16" s="1"/>
  <c r="AE30" i="16"/>
  <c r="AE4" i="16"/>
  <c r="AD28" i="16"/>
  <c r="AE28" i="16" s="1"/>
  <c r="AE18" i="16"/>
  <c r="AE10" i="16"/>
  <c r="AE3" i="16"/>
  <c r="AH35" i="16"/>
  <c r="H35" i="16"/>
  <c r="C35" i="16"/>
  <c r="G35" i="16"/>
  <c r="F11" i="16"/>
  <c r="K10" i="16" s="1"/>
  <c r="L10" i="16" s="1"/>
  <c r="F10" i="16"/>
  <c r="F9" i="16"/>
  <c r="F8" i="16"/>
  <c r="F7" i="16"/>
  <c r="F6" i="16"/>
  <c r="F5" i="16"/>
  <c r="F4" i="16"/>
  <c r="K4" i="16" s="1"/>
  <c r="L4" i="16" s="1"/>
  <c r="F3" i="16"/>
  <c r="F35" i="16" s="1"/>
  <c r="AJ36" i="15"/>
  <c r="AH36" i="15"/>
  <c r="AG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0" i="15"/>
  <c r="AI9" i="15"/>
  <c r="AI8" i="15"/>
  <c r="AI7" i="15"/>
  <c r="AI6" i="15"/>
  <c r="AI5" i="15"/>
  <c r="AI4" i="15"/>
  <c r="AI3" i="15"/>
  <c r="P36" i="15"/>
  <c r="N36" i="15"/>
  <c r="O35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" i="15"/>
  <c r="AB36" i="15"/>
  <c r="AD34" i="15"/>
  <c r="AD30" i="15"/>
  <c r="AA30" i="15"/>
  <c r="AA26" i="15"/>
  <c r="AD26" i="15" s="1"/>
  <c r="AD22" i="15"/>
  <c r="AA22" i="15"/>
  <c r="AD16" i="15"/>
  <c r="W36" i="15"/>
  <c r="AD11" i="15"/>
  <c r="AD3" i="15"/>
  <c r="Z3" i="15"/>
  <c r="J11" i="15"/>
  <c r="K11" i="15" s="1"/>
  <c r="L11" i="15" s="1"/>
  <c r="J34" i="15"/>
  <c r="M36" i="15"/>
  <c r="J22" i="15"/>
  <c r="J16" i="15"/>
  <c r="G26" i="15"/>
  <c r="G22" i="15"/>
  <c r="G36" i="15" s="1"/>
  <c r="G30" i="15"/>
  <c r="J30" i="15" s="1"/>
  <c r="J26" i="15"/>
  <c r="J12" i="15"/>
  <c r="J3" i="15"/>
  <c r="C36" i="15"/>
  <c r="H36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F7" i="15"/>
  <c r="O6" i="15"/>
  <c r="F6" i="15"/>
  <c r="O5" i="15"/>
  <c r="F5" i="15"/>
  <c r="O4" i="15"/>
  <c r="F4" i="15"/>
  <c r="O3" i="15"/>
  <c r="O36" i="15" s="1"/>
  <c r="F3" i="15"/>
  <c r="J32" i="14"/>
  <c r="J29" i="14"/>
  <c r="J25" i="14"/>
  <c r="J24" i="14"/>
  <c r="J23" i="14"/>
  <c r="J20" i="14"/>
  <c r="J10" i="14"/>
  <c r="AC32" i="14"/>
  <c r="AC29" i="14"/>
  <c r="AC25" i="14"/>
  <c r="AC24" i="14"/>
  <c r="AC23" i="14"/>
  <c r="AC20" i="14"/>
  <c r="AC13" i="14"/>
  <c r="AC10" i="14"/>
  <c r="AC6" i="14"/>
  <c r="AD6" i="14" s="1"/>
  <c r="AE6" i="14" s="1"/>
  <c r="AC5" i="14"/>
  <c r="AC3" i="14"/>
  <c r="Z35" i="14"/>
  <c r="S4" i="14"/>
  <c r="S9" i="14"/>
  <c r="S10" i="14"/>
  <c r="S11" i="14"/>
  <c r="S12" i="14"/>
  <c r="S14" i="14"/>
  <c r="S15" i="14"/>
  <c r="S16" i="14"/>
  <c r="S17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Q35" i="14"/>
  <c r="AI35" i="14"/>
  <c r="AG35" i="14"/>
  <c r="AF35" i="14"/>
  <c r="AH34" i="14"/>
  <c r="Y34" i="14"/>
  <c r="AH33" i="14"/>
  <c r="Y33" i="14"/>
  <c r="AH32" i="14"/>
  <c r="Y32" i="14"/>
  <c r="AH31" i="14"/>
  <c r="Y31" i="14"/>
  <c r="AH30" i="14"/>
  <c r="Y30" i="14"/>
  <c r="AH29" i="14"/>
  <c r="Y29" i="14"/>
  <c r="AH28" i="14"/>
  <c r="Y28" i="14"/>
  <c r="AH27" i="14"/>
  <c r="Y27" i="14"/>
  <c r="AH26" i="14"/>
  <c r="Y26" i="14"/>
  <c r="AH25" i="14"/>
  <c r="Y25" i="14"/>
  <c r="AH24" i="14"/>
  <c r="AD24" i="14"/>
  <c r="AE24" i="14" s="1"/>
  <c r="Y24" i="14"/>
  <c r="AH23" i="14"/>
  <c r="Y23" i="14"/>
  <c r="AH22" i="14"/>
  <c r="Y22" i="14"/>
  <c r="AH21" i="14"/>
  <c r="Y21" i="14"/>
  <c r="AH20" i="14"/>
  <c r="Y20" i="14"/>
  <c r="AH19" i="14"/>
  <c r="Y19" i="14"/>
  <c r="AH18" i="14"/>
  <c r="Y18" i="14"/>
  <c r="AH17" i="14"/>
  <c r="Y17" i="14"/>
  <c r="AH16" i="14"/>
  <c r="Y16" i="14"/>
  <c r="AH15" i="14"/>
  <c r="Y15" i="14"/>
  <c r="AH14" i="14"/>
  <c r="Y14" i="14"/>
  <c r="AH13" i="14"/>
  <c r="Y13" i="14"/>
  <c r="AH12" i="14"/>
  <c r="Y12" i="14"/>
  <c r="AH11" i="14"/>
  <c r="Y11" i="14"/>
  <c r="AH10" i="14"/>
  <c r="Y10" i="14"/>
  <c r="AH9" i="14"/>
  <c r="Y9" i="14"/>
  <c r="AH8" i="14"/>
  <c r="Y8" i="14"/>
  <c r="AH7" i="14"/>
  <c r="Y7" i="14"/>
  <c r="AH6" i="14"/>
  <c r="Y6" i="14"/>
  <c r="AH5" i="14"/>
  <c r="V35" i="14"/>
  <c r="AH4" i="14"/>
  <c r="Y4" i="14"/>
  <c r="AH3" i="14"/>
  <c r="AH35" i="14" s="1"/>
  <c r="Y3" i="14"/>
  <c r="C5" i="14"/>
  <c r="J5" i="14" s="1"/>
  <c r="C6" i="14"/>
  <c r="S6" i="14" s="1"/>
  <c r="C7" i="14"/>
  <c r="S7" i="14" s="1"/>
  <c r="C8" i="14"/>
  <c r="S8" i="14" s="1"/>
  <c r="C13" i="14"/>
  <c r="J13" i="14" s="1"/>
  <c r="C18" i="14"/>
  <c r="S18" i="14" s="1"/>
  <c r="C19" i="14"/>
  <c r="S19" i="14" s="1"/>
  <c r="C3" i="14"/>
  <c r="J3" i="14" s="1"/>
  <c r="P35" i="14"/>
  <c r="N35" i="14"/>
  <c r="M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35" i="14" s="1"/>
  <c r="J3" i="13"/>
  <c r="G35" i="14"/>
  <c r="F4" i="14"/>
  <c r="F5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K23" i="14" s="1"/>
  <c r="L23" i="14" s="1"/>
  <c r="F24" i="14"/>
  <c r="F25" i="14"/>
  <c r="F26" i="14"/>
  <c r="F27" i="14"/>
  <c r="F28" i="14"/>
  <c r="F29" i="14"/>
  <c r="F30" i="14"/>
  <c r="F31" i="14"/>
  <c r="F32" i="14"/>
  <c r="F33" i="14"/>
  <c r="F34" i="14"/>
  <c r="F3" i="14"/>
  <c r="C35" i="14"/>
  <c r="AI19" i="13"/>
  <c r="AI18" i="13"/>
  <c r="AI17" i="13"/>
  <c r="AI16" i="13"/>
  <c r="AI15" i="13"/>
  <c r="AI14" i="13"/>
  <c r="AI13" i="13"/>
  <c r="AI12" i="13"/>
  <c r="AI11" i="13"/>
  <c r="AI10" i="13"/>
  <c r="AI9" i="13"/>
  <c r="S13" i="14" l="1"/>
  <c r="S5" i="14"/>
  <c r="AA36" i="15"/>
  <c r="J6" i="14"/>
  <c r="S3" i="14"/>
  <c r="K3" i="16"/>
  <c r="L3" i="16" s="1"/>
  <c r="F18" i="14"/>
  <c r="F6" i="14"/>
  <c r="AI36" i="15"/>
  <c r="K11" i="20"/>
  <c r="H11" i="20" s="1"/>
  <c r="K68" i="17"/>
  <c r="J35" i="16"/>
  <c r="AE11" i="15"/>
  <c r="AF11" i="15" s="1"/>
  <c r="AE16" i="15"/>
  <c r="AF16" i="15" s="1"/>
  <c r="K34" i="15"/>
  <c r="L34" i="15" s="1"/>
  <c r="K22" i="15"/>
  <c r="L22" i="15" s="1"/>
  <c r="K30" i="15"/>
  <c r="L30" i="15" s="1"/>
  <c r="K26" i="15"/>
  <c r="L26" i="15" s="1"/>
  <c r="K16" i="15"/>
  <c r="L16" i="15" s="1"/>
  <c r="AE34" i="15"/>
  <c r="AF34" i="15" s="1"/>
  <c r="AE26" i="15"/>
  <c r="AF26" i="15" s="1"/>
  <c r="AE22" i="15"/>
  <c r="AF22" i="15" s="1"/>
  <c r="AE30" i="15"/>
  <c r="AF30" i="15" s="1"/>
  <c r="Z36" i="15"/>
  <c r="AE3" i="15"/>
  <c r="AD12" i="15"/>
  <c r="AE12" i="15" s="1"/>
  <c r="AF12" i="15" s="1"/>
  <c r="K12" i="15"/>
  <c r="L12" i="15" s="1"/>
  <c r="K3" i="15"/>
  <c r="L3" i="15" s="1"/>
  <c r="F36" i="15"/>
  <c r="J36" i="15"/>
  <c r="AC35" i="14"/>
  <c r="AD32" i="14"/>
  <c r="AE32" i="14" s="1"/>
  <c r="AD29" i="14"/>
  <c r="AE29" i="14" s="1"/>
  <c r="AD23" i="14"/>
  <c r="AE23" i="14" s="1"/>
  <c r="AD20" i="14"/>
  <c r="AE20" i="14" s="1"/>
  <c r="AD13" i="14"/>
  <c r="AE13" i="14" s="1"/>
  <c r="AD10" i="14"/>
  <c r="AE10" i="14" s="1"/>
  <c r="AA35" i="14"/>
  <c r="AD25" i="14"/>
  <c r="AE25" i="14" s="1"/>
  <c r="Y5" i="14"/>
  <c r="Y35" i="14" s="1"/>
  <c r="K24" i="14"/>
  <c r="L24" i="14" s="1"/>
  <c r="F35" i="14"/>
  <c r="K32" i="14"/>
  <c r="L32" i="14" s="1"/>
  <c r="K20" i="14"/>
  <c r="L20" i="14" s="1"/>
  <c r="K10" i="14"/>
  <c r="L10" i="14" s="1"/>
  <c r="K5" i="14"/>
  <c r="L5" i="14" s="1"/>
  <c r="H35" i="14"/>
  <c r="K6" i="14"/>
  <c r="L6" i="14" s="1"/>
  <c r="J35" i="14"/>
  <c r="K29" i="14"/>
  <c r="L29" i="14" s="1"/>
  <c r="K25" i="14"/>
  <c r="L25" i="14" s="1"/>
  <c r="K13" i="14"/>
  <c r="L13" i="14" s="1"/>
  <c r="K3" i="14"/>
  <c r="AA44" i="13"/>
  <c r="AE7" i="13"/>
  <c r="AE3" i="13"/>
  <c r="J14" i="13"/>
  <c r="J7" i="13"/>
  <c r="J29" i="13"/>
  <c r="J20" i="13"/>
  <c r="J36" i="13"/>
  <c r="J40" i="13"/>
  <c r="J44" i="13"/>
  <c r="J45" i="13"/>
  <c r="J50" i="13"/>
  <c r="J52" i="13"/>
  <c r="J53" i="13"/>
  <c r="J9" i="13"/>
  <c r="X54" i="13"/>
  <c r="AB54" i="13"/>
  <c r="AE61" i="13" s="1"/>
  <c r="AC54" i="13"/>
  <c r="J3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AA13" i="13"/>
  <c r="AA12" i="13"/>
  <c r="AA11" i="13"/>
  <c r="AA10" i="13"/>
  <c r="AA9" i="13"/>
  <c r="AA8" i="13"/>
  <c r="AA7" i="13"/>
  <c r="AA6" i="13"/>
  <c r="AA5" i="13"/>
  <c r="AA4" i="13"/>
  <c r="AA3" i="13"/>
  <c r="AA54" i="13" s="1"/>
  <c r="AE45" i="13"/>
  <c r="AE40" i="13"/>
  <c r="Q40" i="13" s="1"/>
  <c r="AE36" i="13"/>
  <c r="AE29" i="13"/>
  <c r="AE20" i="13"/>
  <c r="AE14" i="13"/>
  <c r="AE9" i="13"/>
  <c r="AE53" i="13"/>
  <c r="K3" i="13"/>
  <c r="L3" i="13" s="1"/>
  <c r="N19" i="13"/>
  <c r="N18" i="13"/>
  <c r="N17" i="13"/>
  <c r="N16" i="13"/>
  <c r="N15" i="13"/>
  <c r="N14" i="13"/>
  <c r="H54" i="13"/>
  <c r="S54" i="13"/>
  <c r="E62" i="13"/>
  <c r="C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1" i="13"/>
  <c r="D111" i="13"/>
  <c r="AJ15" i="13"/>
  <c r="N11" i="13"/>
  <c r="O11" i="13" s="1"/>
  <c r="N13" i="13"/>
  <c r="O13" i="13" s="1"/>
  <c r="N9" i="13"/>
  <c r="N3" i="13"/>
  <c r="AK54" i="13"/>
  <c r="AH54" i="13"/>
  <c r="AI53" i="13"/>
  <c r="AJ53" i="13" s="1"/>
  <c r="AA53" i="13"/>
  <c r="AI52" i="13"/>
  <c r="AJ52" i="13" s="1"/>
  <c r="AA52" i="13"/>
  <c r="AI51" i="13"/>
  <c r="AJ51" i="13" s="1"/>
  <c r="AA51" i="13"/>
  <c r="AI50" i="13"/>
  <c r="AJ50" i="13" s="1"/>
  <c r="AE50" i="13"/>
  <c r="AA50" i="13"/>
  <c r="AI49" i="13"/>
  <c r="AJ49" i="13" s="1"/>
  <c r="AA49" i="13"/>
  <c r="AI48" i="13"/>
  <c r="AJ48" i="13" s="1"/>
  <c r="AA48" i="13"/>
  <c r="AI47" i="13"/>
  <c r="AJ47" i="13" s="1"/>
  <c r="AA47" i="13"/>
  <c r="AI46" i="13"/>
  <c r="AJ46" i="13" s="1"/>
  <c r="AA46" i="13"/>
  <c r="AI45" i="13"/>
  <c r="AJ45" i="13" s="1"/>
  <c r="AA45" i="13"/>
  <c r="AJ44" i="13"/>
  <c r="AE44" i="13"/>
  <c r="Q44" i="13" s="1"/>
  <c r="AI43" i="13"/>
  <c r="AJ43" i="13" s="1"/>
  <c r="AA43" i="13"/>
  <c r="AI42" i="13"/>
  <c r="AJ42" i="13" s="1"/>
  <c r="AA42" i="13"/>
  <c r="AI41" i="13"/>
  <c r="AJ41" i="13" s="1"/>
  <c r="AA41" i="13"/>
  <c r="AI40" i="13"/>
  <c r="AJ40" i="13" s="1"/>
  <c r="AA40" i="13"/>
  <c r="AJ39" i="13"/>
  <c r="AA39" i="13"/>
  <c r="AJ38" i="13"/>
  <c r="AA38" i="13"/>
  <c r="AI37" i="13"/>
  <c r="AJ37" i="13" s="1"/>
  <c r="AA37" i="13"/>
  <c r="AJ36" i="13"/>
  <c r="AA36" i="13"/>
  <c r="AI35" i="13"/>
  <c r="AJ35" i="13" s="1"/>
  <c r="AA35" i="13"/>
  <c r="AI34" i="13"/>
  <c r="AJ34" i="13" s="1"/>
  <c r="AA34" i="13"/>
  <c r="AI33" i="13"/>
  <c r="AJ33" i="13" s="1"/>
  <c r="AA33" i="13"/>
  <c r="AI32" i="13"/>
  <c r="AJ32" i="13" s="1"/>
  <c r="AA32" i="13"/>
  <c r="AI31" i="13"/>
  <c r="AJ31" i="13" s="1"/>
  <c r="AA31" i="13"/>
  <c r="AI30" i="13"/>
  <c r="AJ30" i="13" s="1"/>
  <c r="AA30" i="13"/>
  <c r="AI29" i="13"/>
  <c r="AJ29" i="13" s="1"/>
  <c r="AA29" i="13"/>
  <c r="AI28" i="13"/>
  <c r="AJ28" i="13" s="1"/>
  <c r="AA28" i="13"/>
  <c r="AI27" i="13"/>
  <c r="AJ27" i="13" s="1"/>
  <c r="AA27" i="13"/>
  <c r="AI26" i="13"/>
  <c r="AJ26" i="13" s="1"/>
  <c r="AA26" i="13"/>
  <c r="AI25" i="13"/>
  <c r="AJ25" i="13" s="1"/>
  <c r="AA25" i="13"/>
  <c r="AI24" i="13"/>
  <c r="AJ24" i="13" s="1"/>
  <c r="AA24" i="13"/>
  <c r="AI23" i="13"/>
  <c r="AJ23" i="13" s="1"/>
  <c r="AA23" i="13"/>
  <c r="AI22" i="13"/>
  <c r="AJ22" i="13" s="1"/>
  <c r="AA22" i="13"/>
  <c r="AI21" i="13"/>
  <c r="AJ21" i="13" s="1"/>
  <c r="AA21" i="13"/>
  <c r="AJ20" i="13"/>
  <c r="AI20" i="13"/>
  <c r="AA20" i="13"/>
  <c r="AJ19" i="13"/>
  <c r="AA19" i="13"/>
  <c r="AJ18" i="13"/>
  <c r="AA18" i="13"/>
  <c r="AJ17" i="13"/>
  <c r="AA17" i="13"/>
  <c r="AJ16" i="13"/>
  <c r="AA16" i="13"/>
  <c r="AA15" i="13"/>
  <c r="AJ14" i="13"/>
  <c r="AA14" i="13"/>
  <c r="AJ13" i="13"/>
  <c r="AJ12" i="13"/>
  <c r="AJ11" i="13"/>
  <c r="AJ10" i="13"/>
  <c r="AJ9" i="13"/>
  <c r="AI8" i="13"/>
  <c r="AJ8" i="13" s="1"/>
  <c r="AI7" i="13"/>
  <c r="AJ7" i="13" s="1"/>
  <c r="AI6" i="13"/>
  <c r="AJ6" i="13" s="1"/>
  <c r="AI5" i="13"/>
  <c r="AJ5" i="13" s="1"/>
  <c r="AI4" i="13"/>
  <c r="AJ4" i="13" s="1"/>
  <c r="AI3" i="13"/>
  <c r="O9" i="13"/>
  <c r="O10" i="13"/>
  <c r="O12" i="13"/>
  <c r="O22" i="13"/>
  <c r="O26" i="13"/>
  <c r="O30" i="13"/>
  <c r="O34" i="13"/>
  <c r="O50" i="13"/>
  <c r="O51" i="13"/>
  <c r="O3" i="13"/>
  <c r="N4" i="13"/>
  <c r="O4" i="13" s="1"/>
  <c r="N5" i="13"/>
  <c r="O5" i="13" s="1"/>
  <c r="N6" i="13"/>
  <c r="O6" i="13" s="1"/>
  <c r="N7" i="13"/>
  <c r="O7" i="13" s="1"/>
  <c r="N8" i="13"/>
  <c r="O8" i="13" s="1"/>
  <c r="O14" i="13"/>
  <c r="O15" i="13"/>
  <c r="O16" i="13"/>
  <c r="O17" i="13"/>
  <c r="O18" i="13"/>
  <c r="O19" i="13"/>
  <c r="N20" i="13"/>
  <c r="O20" i="13" s="1"/>
  <c r="N21" i="13"/>
  <c r="O21" i="13" s="1"/>
  <c r="N22" i="13"/>
  <c r="N23" i="13"/>
  <c r="O23" i="13" s="1"/>
  <c r="N24" i="13"/>
  <c r="O24" i="13" s="1"/>
  <c r="N25" i="13"/>
  <c r="O25" i="13" s="1"/>
  <c r="N26" i="13"/>
  <c r="N27" i="13"/>
  <c r="O27" i="13" s="1"/>
  <c r="N28" i="13"/>
  <c r="O28" i="13" s="1"/>
  <c r="N29" i="13"/>
  <c r="O29" i="13" s="1"/>
  <c r="N30" i="13"/>
  <c r="N31" i="13"/>
  <c r="O31" i="13" s="1"/>
  <c r="N32" i="13"/>
  <c r="O32" i="13" s="1"/>
  <c r="N33" i="13"/>
  <c r="O33" i="13" s="1"/>
  <c r="N34" i="13"/>
  <c r="N35" i="13"/>
  <c r="O35" i="13" s="1"/>
  <c r="N36" i="13"/>
  <c r="O36" i="13" s="1"/>
  <c r="N37" i="13"/>
  <c r="O37" i="13" s="1"/>
  <c r="N38" i="13"/>
  <c r="O38" i="13" s="1"/>
  <c r="N39" i="13"/>
  <c r="O39" i="13" s="1"/>
  <c r="N40" i="13"/>
  <c r="O40" i="13" s="1"/>
  <c r="N41" i="13"/>
  <c r="O41" i="13" s="1"/>
  <c r="N42" i="13"/>
  <c r="O42" i="13" s="1"/>
  <c r="N43" i="13"/>
  <c r="O43" i="13" s="1"/>
  <c r="N44" i="13"/>
  <c r="O44" i="13" s="1"/>
  <c r="N45" i="13"/>
  <c r="O45" i="13" s="1"/>
  <c r="N46" i="13"/>
  <c r="O46" i="13" s="1"/>
  <c r="N47" i="13"/>
  <c r="O47" i="13" s="1"/>
  <c r="N48" i="13"/>
  <c r="O48" i="13" s="1"/>
  <c r="N49" i="13"/>
  <c r="O49" i="13" s="1"/>
  <c r="N52" i="13"/>
  <c r="O52" i="13" s="1"/>
  <c r="N53" i="13"/>
  <c r="O53" i="13" s="1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3" i="13"/>
  <c r="R54" i="13"/>
  <c r="P54" i="13"/>
  <c r="M54" i="13"/>
  <c r="G54" i="13"/>
  <c r="C54" i="13"/>
  <c r="AF7" i="13" l="1"/>
  <c r="T54" i="13"/>
  <c r="Q7" i="13"/>
  <c r="J56" i="13"/>
  <c r="K69" i="17"/>
  <c r="I69" i="17" s="1"/>
  <c r="K35" i="16"/>
  <c r="AF3" i="15"/>
  <c r="AE36" i="15"/>
  <c r="AD36" i="15"/>
  <c r="K36" i="15"/>
  <c r="AD3" i="14"/>
  <c r="AD5" i="14"/>
  <c r="AE5" i="14" s="1"/>
  <c r="K35" i="14"/>
  <c r="L3" i="14"/>
  <c r="Q53" i="13"/>
  <c r="Q9" i="13"/>
  <c r="Q45" i="13"/>
  <c r="Q20" i="13"/>
  <c r="AE55" i="13"/>
  <c r="Q36" i="13"/>
  <c r="Q50" i="13"/>
  <c r="Q29" i="13"/>
  <c r="Q14" i="13"/>
  <c r="Q3" i="13"/>
  <c r="AF3" i="13"/>
  <c r="J54" i="13"/>
  <c r="J55" i="13" s="1"/>
  <c r="AF53" i="13"/>
  <c r="AG53" i="13" s="1"/>
  <c r="AE52" i="13"/>
  <c r="AF52" i="13" s="1"/>
  <c r="AG52" i="13" s="1"/>
  <c r="E60" i="13"/>
  <c r="E111" i="13" s="1"/>
  <c r="AF50" i="13"/>
  <c r="AG50" i="13" s="1"/>
  <c r="AF45" i="13"/>
  <c r="AG45" i="13" s="1"/>
  <c r="AF44" i="13"/>
  <c r="AG44" i="13" s="1"/>
  <c r="AF40" i="13"/>
  <c r="AG40" i="13" s="1"/>
  <c r="AF36" i="13"/>
  <c r="AG36" i="13" s="1"/>
  <c r="AF29" i="13"/>
  <c r="AG29" i="13" s="1"/>
  <c r="AI54" i="13"/>
  <c r="AF20" i="13"/>
  <c r="AG20" i="13" s="1"/>
  <c r="AF14" i="13"/>
  <c r="AG14" i="13" s="1"/>
  <c r="AF9" i="13"/>
  <c r="AG9" i="13" s="1"/>
  <c r="AJ3" i="13"/>
  <c r="AJ54" i="13" s="1"/>
  <c r="N54" i="13"/>
  <c r="O54" i="13"/>
  <c r="K7" i="13"/>
  <c r="L7" i="13" s="1"/>
  <c r="K53" i="13"/>
  <c r="L53" i="13" s="1"/>
  <c r="K44" i="13"/>
  <c r="L44" i="13" s="1"/>
  <c r="K40" i="13"/>
  <c r="L40" i="13" s="1"/>
  <c r="K50" i="13"/>
  <c r="L50" i="13" s="1"/>
  <c r="K45" i="13"/>
  <c r="L45" i="13" s="1"/>
  <c r="K36" i="13"/>
  <c r="L36" i="13" s="1"/>
  <c r="K52" i="13"/>
  <c r="L52" i="13" s="1"/>
  <c r="G36" i="14" l="1"/>
  <c r="K36" i="14" s="1"/>
  <c r="AE37" i="15"/>
  <c r="AA37" i="15" s="1"/>
  <c r="K36" i="16"/>
  <c r="G36" i="16" s="1"/>
  <c r="K37" i="15"/>
  <c r="AD35" i="14"/>
  <c r="AE3" i="14"/>
  <c r="Q52" i="13"/>
  <c r="AE54" i="13"/>
  <c r="AE56" i="13" s="1"/>
  <c r="Q54" i="13"/>
  <c r="AG7" i="13"/>
  <c r="AF54" i="13"/>
  <c r="AG3" i="13"/>
  <c r="K29" i="13"/>
  <c r="L29" i="13" s="1"/>
  <c r="H64" i="12"/>
  <c r="AF60" i="13" l="1"/>
  <c r="K20" i="13"/>
  <c r="L20" i="13" s="1"/>
  <c r="K9" i="13"/>
  <c r="L9" i="13" s="1"/>
  <c r="K14" i="13"/>
  <c r="L14" i="13" s="1"/>
  <c r="F54" i="13"/>
  <c r="Z10" i="12"/>
  <c r="V28" i="12"/>
  <c r="V26" i="12"/>
  <c r="Z24" i="12"/>
  <c r="V16" i="12"/>
  <c r="V14" i="12"/>
  <c r="V12" i="12"/>
  <c r="V6" i="12"/>
  <c r="V4" i="12"/>
  <c r="D64" i="12"/>
  <c r="C64" i="12"/>
  <c r="E61" i="12"/>
  <c r="E58" i="12"/>
  <c r="E57" i="12"/>
  <c r="E56" i="12"/>
  <c r="E55" i="12"/>
  <c r="E54" i="12"/>
  <c r="E53" i="12"/>
  <c r="E52" i="12"/>
  <c r="E51" i="12"/>
  <c r="E50" i="12"/>
  <c r="E47" i="12"/>
  <c r="E45" i="12"/>
  <c r="E43" i="12"/>
  <c r="E42" i="12"/>
  <c r="E41" i="12"/>
  <c r="N30" i="12"/>
  <c r="AC30" i="12"/>
  <c r="X30" i="12"/>
  <c r="W30" i="12"/>
  <c r="V29" i="12"/>
  <c r="V27" i="12"/>
  <c r="V25" i="12"/>
  <c r="V24" i="12"/>
  <c r="V23" i="12"/>
  <c r="V22" i="12"/>
  <c r="V21" i="12"/>
  <c r="V20" i="12"/>
  <c r="V19" i="12"/>
  <c r="V18" i="12"/>
  <c r="Z17" i="12"/>
  <c r="V17" i="12"/>
  <c r="V15" i="12"/>
  <c r="V13" i="12"/>
  <c r="V11" i="12"/>
  <c r="V10" i="12"/>
  <c r="V9" i="12"/>
  <c r="V8" i="12"/>
  <c r="V7" i="12"/>
  <c r="Z6" i="12"/>
  <c r="V5" i="12"/>
  <c r="Z3" i="12"/>
  <c r="V3" i="12"/>
  <c r="M30" i="12"/>
  <c r="C30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" i="12"/>
  <c r="J24" i="12"/>
  <c r="J17" i="12"/>
  <c r="J10" i="12"/>
  <c r="J6" i="12"/>
  <c r="H30" i="12"/>
  <c r="G30" i="12"/>
  <c r="K54" i="13" l="1"/>
  <c r="AA10" i="12"/>
  <c r="AB10" i="12" s="1"/>
  <c r="K24" i="12"/>
  <c r="L24" i="12" s="1"/>
  <c r="K3" i="12"/>
  <c r="L3" i="12" s="1"/>
  <c r="K10" i="12"/>
  <c r="L10" i="12" s="1"/>
  <c r="F30" i="12"/>
  <c r="AA24" i="12"/>
  <c r="AB24" i="12" s="1"/>
  <c r="S30" i="12"/>
  <c r="O32" i="12" s="1"/>
  <c r="Z30" i="12"/>
  <c r="V30" i="12"/>
  <c r="AA6" i="12"/>
  <c r="AB6" i="12" s="1"/>
  <c r="AA17" i="12"/>
  <c r="AB17" i="12" s="1"/>
  <c r="E64" i="12"/>
  <c r="AD30" i="12"/>
  <c r="J30" i="12"/>
  <c r="K17" i="12"/>
  <c r="L17" i="12" s="1"/>
  <c r="K6" i="12"/>
  <c r="L6" i="12" s="1"/>
  <c r="K30" i="12" l="1"/>
  <c r="K31" i="12" s="1"/>
  <c r="K32" i="12" s="1"/>
  <c r="K20" i="11"/>
  <c r="AH37" i="11"/>
  <c r="AG37" i="11"/>
  <c r="AB37" i="11"/>
  <c r="AA37" i="11"/>
  <c r="AI36" i="11"/>
  <c r="AD36" i="11"/>
  <c r="Z36" i="11"/>
  <c r="AI35" i="11"/>
  <c r="Z35" i="11"/>
  <c r="AI34" i="11"/>
  <c r="AI33" i="11"/>
  <c r="AI32" i="11"/>
  <c r="Z32" i="11"/>
  <c r="AI31" i="11"/>
  <c r="Z31" i="11"/>
  <c r="AI30" i="11"/>
  <c r="Z30" i="11"/>
  <c r="AI29" i="11"/>
  <c r="Z29" i="11"/>
  <c r="AI28" i="11"/>
  <c r="Z28" i="11"/>
  <c r="AI27" i="11"/>
  <c r="Z27" i="11"/>
  <c r="AI26" i="11"/>
  <c r="Z26" i="11"/>
  <c r="AI25" i="11"/>
  <c r="Z25" i="11"/>
  <c r="AI24" i="11"/>
  <c r="Z24" i="11"/>
  <c r="AI23" i="11"/>
  <c r="Z23" i="11"/>
  <c r="AI22" i="11"/>
  <c r="Z22" i="11"/>
  <c r="AI21" i="11"/>
  <c r="Z21" i="11"/>
  <c r="AI20" i="11"/>
  <c r="AI19" i="11"/>
  <c r="Z19" i="11"/>
  <c r="AI18" i="11"/>
  <c r="Z18" i="11"/>
  <c r="AI17" i="11"/>
  <c r="Z17" i="11"/>
  <c r="AI16" i="11"/>
  <c r="Z16" i="11"/>
  <c r="AI15" i="11"/>
  <c r="Z15" i="11"/>
  <c r="AI14" i="11"/>
  <c r="Z14" i="11"/>
  <c r="AI13" i="11"/>
  <c r="Z13" i="11"/>
  <c r="AI12" i="11"/>
  <c r="AD12" i="11"/>
  <c r="AE12" i="11" s="1"/>
  <c r="AF12" i="11" s="1"/>
  <c r="Z12" i="11"/>
  <c r="AI11" i="11"/>
  <c r="Z11" i="11"/>
  <c r="AI10" i="11"/>
  <c r="Z10" i="11"/>
  <c r="AI9" i="11"/>
  <c r="Z9" i="11"/>
  <c r="AI8" i="11"/>
  <c r="Z8" i="11"/>
  <c r="AI7" i="11"/>
  <c r="Z7" i="11"/>
  <c r="AI6" i="11"/>
  <c r="Z6" i="11"/>
  <c r="AI5" i="11"/>
  <c r="Z5" i="11"/>
  <c r="AI4" i="11"/>
  <c r="Z4" i="11"/>
  <c r="AI3" i="11"/>
  <c r="D80" i="11"/>
  <c r="C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S37" i="11"/>
  <c r="AI37" i="11" l="1"/>
  <c r="AE36" i="11"/>
  <c r="AF36" i="11" s="1"/>
  <c r="AD20" i="11"/>
  <c r="Z20" i="11"/>
  <c r="AD34" i="11"/>
  <c r="Z34" i="11"/>
  <c r="AD33" i="11"/>
  <c r="Z33" i="11"/>
  <c r="AD30" i="11"/>
  <c r="AE30" i="11" s="1"/>
  <c r="AF30" i="11" s="1"/>
  <c r="AD31" i="11"/>
  <c r="AE31" i="11" s="1"/>
  <c r="AF31" i="11" s="1"/>
  <c r="AD22" i="11"/>
  <c r="AE22" i="11" s="1"/>
  <c r="AF22" i="11" s="1"/>
  <c r="AD23" i="11"/>
  <c r="AE23" i="11" s="1"/>
  <c r="AF23" i="11" s="1"/>
  <c r="E80" i="11"/>
  <c r="N37" i="11"/>
  <c r="M37" i="11"/>
  <c r="H37" i="11"/>
  <c r="G37" i="11"/>
  <c r="O36" i="11"/>
  <c r="J36" i="11" s="1"/>
  <c r="O35" i="11"/>
  <c r="C35" i="11" s="1"/>
  <c r="F35" i="11" s="1"/>
  <c r="O34" i="11"/>
  <c r="C34" i="11" s="1"/>
  <c r="F34" i="11" s="1"/>
  <c r="O33" i="11"/>
  <c r="C33" i="11" s="1"/>
  <c r="J33" i="11" s="1"/>
  <c r="O32" i="11"/>
  <c r="C32" i="11" s="1"/>
  <c r="F32" i="11" s="1"/>
  <c r="O31" i="11"/>
  <c r="C31" i="11" s="1"/>
  <c r="F31" i="11" s="1"/>
  <c r="O30" i="11"/>
  <c r="C30" i="11" s="1"/>
  <c r="J30" i="11" s="1"/>
  <c r="O29" i="11"/>
  <c r="F29" i="11" s="1"/>
  <c r="O28" i="11"/>
  <c r="F28" i="11" s="1"/>
  <c r="O27" i="11"/>
  <c r="F27" i="11" s="1"/>
  <c r="O26" i="11"/>
  <c r="F26" i="11" s="1"/>
  <c r="O25" i="11"/>
  <c r="F25" i="11" s="1"/>
  <c r="O24" i="11"/>
  <c r="F24" i="11" s="1"/>
  <c r="O23" i="11"/>
  <c r="F23" i="11" s="1"/>
  <c r="O22" i="11"/>
  <c r="C22" i="11" s="1"/>
  <c r="F22" i="11" s="1"/>
  <c r="F21" i="11"/>
  <c r="J20" i="11"/>
  <c r="O19" i="11"/>
  <c r="F19" i="11" s="1"/>
  <c r="O18" i="11"/>
  <c r="F18" i="11" s="1"/>
  <c r="O17" i="11"/>
  <c r="F17" i="11" s="1"/>
  <c r="O16" i="11"/>
  <c r="F16" i="11" s="1"/>
  <c r="O15" i="11"/>
  <c r="C15" i="11" s="1"/>
  <c r="F15" i="11" s="1"/>
  <c r="O14" i="11"/>
  <c r="C14" i="11" s="1"/>
  <c r="F14" i="11" s="1"/>
  <c r="O13" i="11"/>
  <c r="F13" i="11" s="1"/>
  <c r="O12" i="11"/>
  <c r="F12" i="11" s="1"/>
  <c r="O11" i="11"/>
  <c r="C11" i="11" s="1"/>
  <c r="F11" i="11" s="1"/>
  <c r="O10" i="11"/>
  <c r="C10" i="11" s="1"/>
  <c r="F10" i="11" s="1"/>
  <c r="O9" i="11"/>
  <c r="C9" i="11" s="1"/>
  <c r="F9" i="11" s="1"/>
  <c r="O8" i="11"/>
  <c r="C8" i="11" s="1"/>
  <c r="F8" i="11" s="1"/>
  <c r="O7" i="11"/>
  <c r="C7" i="11" s="1"/>
  <c r="F7" i="11" s="1"/>
  <c r="O6" i="11"/>
  <c r="C6" i="11" s="1"/>
  <c r="F6" i="11" s="1"/>
  <c r="O5" i="11"/>
  <c r="C5" i="11" s="1"/>
  <c r="F5" i="11" s="1"/>
  <c r="O4" i="11"/>
  <c r="C4" i="11" s="1"/>
  <c r="F4" i="11" s="1"/>
  <c r="O3" i="11"/>
  <c r="C3" i="11" s="1"/>
  <c r="J3" i="11" s="1"/>
  <c r="J30" i="7"/>
  <c r="J25" i="7"/>
  <c r="J21" i="7"/>
  <c r="J14" i="7"/>
  <c r="J10" i="7"/>
  <c r="J8" i="7"/>
  <c r="J3" i="7"/>
  <c r="Y30" i="7"/>
  <c r="Y25" i="7"/>
  <c r="Y21" i="7"/>
  <c r="Y14" i="7"/>
  <c r="Y10" i="7"/>
  <c r="Y8" i="7"/>
  <c r="Y3" i="7"/>
  <c r="J3" i="8"/>
  <c r="W37" i="11" l="1"/>
  <c r="AD3" i="11"/>
  <c r="Z3" i="11"/>
  <c r="Z37" i="11" s="1"/>
  <c r="AE33" i="11"/>
  <c r="AF33" i="11" s="1"/>
  <c r="AE34" i="11"/>
  <c r="AF34" i="11" s="1"/>
  <c r="AE20" i="11"/>
  <c r="AF20" i="11" s="1"/>
  <c r="J12" i="11"/>
  <c r="K12" i="11" s="1"/>
  <c r="L12" i="11" s="1"/>
  <c r="J22" i="11"/>
  <c r="K22" i="11" s="1"/>
  <c r="L22" i="11" s="1"/>
  <c r="J23" i="11"/>
  <c r="K23" i="11" s="1"/>
  <c r="L23" i="11" s="1"/>
  <c r="J31" i="11"/>
  <c r="K31" i="11" s="1"/>
  <c r="L31" i="11" s="1"/>
  <c r="J34" i="11"/>
  <c r="K34" i="11" s="1"/>
  <c r="L34" i="11" s="1"/>
  <c r="F3" i="11"/>
  <c r="K3" i="11" s="1"/>
  <c r="L3" i="11" s="1"/>
  <c r="F20" i="11"/>
  <c r="F30" i="11"/>
  <c r="F33" i="11"/>
  <c r="F37" i="11" s="1"/>
  <c r="F36" i="11"/>
  <c r="C37" i="11"/>
  <c r="K30" i="11"/>
  <c r="L30" i="11" s="1"/>
  <c r="K33" i="11"/>
  <c r="L33" i="11" s="1"/>
  <c r="K36" i="11"/>
  <c r="L36" i="11" s="1"/>
  <c r="O37" i="11"/>
  <c r="Y32" i="7"/>
  <c r="AD37" i="11" l="1"/>
  <c r="AE37" i="11" s="1"/>
  <c r="AE38" i="11" s="1"/>
  <c r="AE3" i="11"/>
  <c r="AF3" i="11" s="1"/>
  <c r="J37" i="11"/>
  <c r="K37" i="11" s="1"/>
  <c r="AC3" i="10"/>
  <c r="J38" i="10"/>
  <c r="J33" i="10"/>
  <c r="J28" i="10"/>
  <c r="K28" i="10" s="1"/>
  <c r="L28" i="10" s="1"/>
  <c r="J27" i="10"/>
  <c r="J22" i="10"/>
  <c r="J20" i="10"/>
  <c r="J18" i="10"/>
  <c r="K18" i="10" s="1"/>
  <c r="L18" i="10" s="1"/>
  <c r="J13" i="10"/>
  <c r="J7" i="10"/>
  <c r="J3" i="10"/>
  <c r="Z39" i="10"/>
  <c r="AD14" i="9"/>
  <c r="AD25" i="9"/>
  <c r="AD20" i="9"/>
  <c r="AE20" i="9" s="1"/>
  <c r="AF20" i="9" s="1"/>
  <c r="AD15" i="9"/>
  <c r="AD11" i="9"/>
  <c r="AD6" i="9"/>
  <c r="AD3" i="9"/>
  <c r="AF3" i="8"/>
  <c r="J3" i="9"/>
  <c r="AA39" i="10"/>
  <c r="AC38" i="10"/>
  <c r="AC33" i="10"/>
  <c r="AD33" i="10" s="1"/>
  <c r="AE33" i="10" s="1"/>
  <c r="AC28" i="10"/>
  <c r="AC22" i="10"/>
  <c r="AD22" i="10" s="1"/>
  <c r="AE22" i="10" s="1"/>
  <c r="AC20" i="10"/>
  <c r="AC18" i="10"/>
  <c r="AC13" i="10"/>
  <c r="AC7" i="10"/>
  <c r="AD7" i="10" s="1"/>
  <c r="AE7" i="10" s="1"/>
  <c r="K20" i="10"/>
  <c r="L20" i="10" s="1"/>
  <c r="J25" i="9"/>
  <c r="AB27" i="9"/>
  <c r="AA27" i="9"/>
  <c r="Z3" i="9"/>
  <c r="J20" i="9"/>
  <c r="K20" i="9" s="1"/>
  <c r="L20" i="9" s="1"/>
  <c r="J15" i="9"/>
  <c r="K15" i="9" s="1"/>
  <c r="L15" i="9" s="1"/>
  <c r="J11" i="9"/>
  <c r="K11" i="9" s="1"/>
  <c r="L11" i="9" s="1"/>
  <c r="J6" i="9"/>
  <c r="K6" i="9" s="1"/>
  <c r="L6" i="9" s="1"/>
  <c r="AF31" i="8"/>
  <c r="AF26" i="8"/>
  <c r="AF22" i="8"/>
  <c r="AF18" i="8"/>
  <c r="AF14" i="8"/>
  <c r="AF9" i="8"/>
  <c r="J22" i="8"/>
  <c r="J31" i="8"/>
  <c r="J26" i="8"/>
  <c r="J18" i="8"/>
  <c r="J9" i="8"/>
  <c r="J14" i="8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" i="10"/>
  <c r="AG39" i="10"/>
  <c r="AF39" i="10"/>
  <c r="V39" i="10"/>
  <c r="Y38" i="10"/>
  <c r="AH37" i="10"/>
  <c r="Y37" i="10"/>
  <c r="AH36" i="10"/>
  <c r="Y36" i="10"/>
  <c r="AH35" i="10"/>
  <c r="Y35" i="10"/>
  <c r="AH34" i="10"/>
  <c r="Y34" i="10"/>
  <c r="AH33" i="10"/>
  <c r="Y33" i="10"/>
  <c r="AH32" i="10"/>
  <c r="Y32" i="10"/>
  <c r="AH31" i="10"/>
  <c r="Y31" i="10"/>
  <c r="AH30" i="10"/>
  <c r="Y30" i="10"/>
  <c r="AH29" i="10"/>
  <c r="Y29" i="10"/>
  <c r="AH28" i="10"/>
  <c r="Y28" i="10"/>
  <c r="AH27" i="10"/>
  <c r="Y27" i="10"/>
  <c r="AH26" i="10"/>
  <c r="Y26" i="10"/>
  <c r="AH25" i="10"/>
  <c r="Y25" i="10"/>
  <c r="AH24" i="10"/>
  <c r="Y24" i="10"/>
  <c r="AH23" i="10"/>
  <c r="Y23" i="10"/>
  <c r="AH22" i="10"/>
  <c r="Y22" i="10"/>
  <c r="AH21" i="10"/>
  <c r="Y21" i="10"/>
  <c r="AH20" i="10"/>
  <c r="Y20" i="10"/>
  <c r="AH19" i="10"/>
  <c r="Y19" i="10"/>
  <c r="AH18" i="10"/>
  <c r="Y18" i="10"/>
  <c r="AH17" i="10"/>
  <c r="Y17" i="10"/>
  <c r="AH16" i="10"/>
  <c r="Y16" i="10"/>
  <c r="AH15" i="10"/>
  <c r="Y15" i="10"/>
  <c r="AH14" i="10"/>
  <c r="Y14" i="10"/>
  <c r="AH13" i="10"/>
  <c r="Y13" i="10"/>
  <c r="AH12" i="10"/>
  <c r="Y12" i="10"/>
  <c r="AH11" i="10"/>
  <c r="Y11" i="10"/>
  <c r="AH10" i="10"/>
  <c r="Y10" i="10"/>
  <c r="AH9" i="10"/>
  <c r="Y9" i="10"/>
  <c r="AH8" i="10"/>
  <c r="Y8" i="10"/>
  <c r="AH7" i="10"/>
  <c r="Y7" i="10"/>
  <c r="AH6" i="10"/>
  <c r="Y6" i="10"/>
  <c r="AH5" i="10"/>
  <c r="Y5" i="10"/>
  <c r="AH4" i="10"/>
  <c r="Y4" i="10"/>
  <c r="AD3" i="10" s="1"/>
  <c r="AE3" i="10" s="1"/>
  <c r="AH3" i="10"/>
  <c r="Y3" i="10"/>
  <c r="C36" i="8"/>
  <c r="Y36" i="8"/>
  <c r="E82" i="10"/>
  <c r="F55" i="10"/>
  <c r="F47" i="10"/>
  <c r="F48" i="10"/>
  <c r="F49" i="10"/>
  <c r="F50" i="10"/>
  <c r="F51" i="10"/>
  <c r="F52" i="10"/>
  <c r="F53" i="10"/>
  <c r="F54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46" i="10"/>
  <c r="D82" i="10"/>
  <c r="C82" i="10"/>
  <c r="O27" i="10"/>
  <c r="O19" i="10"/>
  <c r="N39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20" i="10"/>
  <c r="O21" i="10"/>
  <c r="O22" i="10"/>
  <c r="O23" i="10"/>
  <c r="O24" i="10"/>
  <c r="O25" i="10"/>
  <c r="O26" i="10"/>
  <c r="O28" i="10"/>
  <c r="O29" i="10"/>
  <c r="O30" i="10"/>
  <c r="O31" i="10"/>
  <c r="O32" i="10"/>
  <c r="O33" i="10"/>
  <c r="O34" i="10"/>
  <c r="O35" i="10"/>
  <c r="O36" i="10"/>
  <c r="O37" i="10"/>
  <c r="O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" i="10"/>
  <c r="P23" i="9"/>
  <c r="Q23" i="9" s="1"/>
  <c r="M39" i="10"/>
  <c r="H39" i="10"/>
  <c r="F27" i="10"/>
  <c r="F28" i="10"/>
  <c r="F29" i="10"/>
  <c r="F30" i="10"/>
  <c r="F31" i="10"/>
  <c r="F32" i="10"/>
  <c r="F33" i="10"/>
  <c r="K33" i="10" s="1"/>
  <c r="L33" i="10" s="1"/>
  <c r="F34" i="10"/>
  <c r="F35" i="10"/>
  <c r="F36" i="10"/>
  <c r="F37" i="10"/>
  <c r="F38" i="10"/>
  <c r="C39" i="10"/>
  <c r="F26" i="10"/>
  <c r="F25" i="10"/>
  <c r="F24" i="10"/>
  <c r="F23" i="10"/>
  <c r="F22" i="10"/>
  <c r="K22" i="10" s="1"/>
  <c r="L22" i="10" s="1"/>
  <c r="F21" i="10"/>
  <c r="F20" i="10"/>
  <c r="F19" i="10"/>
  <c r="F18" i="10"/>
  <c r="F17" i="10"/>
  <c r="F16" i="10"/>
  <c r="F15" i="10"/>
  <c r="F14" i="10"/>
  <c r="F13" i="10"/>
  <c r="K13" i="10" s="1"/>
  <c r="L13" i="10" s="1"/>
  <c r="F12" i="10"/>
  <c r="F11" i="10"/>
  <c r="F10" i="10"/>
  <c r="F9" i="10"/>
  <c r="F8" i="10"/>
  <c r="F7" i="10"/>
  <c r="K7" i="10" s="1"/>
  <c r="L7" i="10" s="1"/>
  <c r="F6" i="10"/>
  <c r="F5" i="10"/>
  <c r="F4" i="10"/>
  <c r="F3" i="10"/>
  <c r="F9" i="9"/>
  <c r="F10" i="9"/>
  <c r="AH27" i="9"/>
  <c r="AG27" i="9"/>
  <c r="W27" i="9"/>
  <c r="AI26" i="9"/>
  <c r="Z26" i="9"/>
  <c r="AI25" i="9"/>
  <c r="Z25" i="9"/>
  <c r="AE25" i="9" s="1"/>
  <c r="AF25" i="9" s="1"/>
  <c r="AI24" i="9"/>
  <c r="Z24" i="9"/>
  <c r="AI23" i="9"/>
  <c r="Z23" i="9"/>
  <c r="AI22" i="9"/>
  <c r="Z22" i="9"/>
  <c r="AI21" i="9"/>
  <c r="Z21" i="9"/>
  <c r="AI20" i="9"/>
  <c r="Z20" i="9"/>
  <c r="AI19" i="9"/>
  <c r="Z19" i="9"/>
  <c r="AI18" i="9"/>
  <c r="Z18" i="9"/>
  <c r="AI17" i="9"/>
  <c r="Z17" i="9"/>
  <c r="AI16" i="9"/>
  <c r="Z16" i="9"/>
  <c r="AI15" i="9"/>
  <c r="Z15" i="9"/>
  <c r="AE15" i="9" s="1"/>
  <c r="AF15" i="9" s="1"/>
  <c r="AI14" i="9"/>
  <c r="Z14" i="9"/>
  <c r="AE14" i="9" s="1"/>
  <c r="AF14" i="9" s="1"/>
  <c r="AI13" i="9"/>
  <c r="Z13" i="9"/>
  <c r="AI12" i="9"/>
  <c r="Z12" i="9"/>
  <c r="AI11" i="9"/>
  <c r="Z11" i="9"/>
  <c r="AE11" i="9" s="1"/>
  <c r="AF11" i="9" s="1"/>
  <c r="AI10" i="9"/>
  <c r="Z10" i="9"/>
  <c r="AI9" i="9"/>
  <c r="Z9" i="9"/>
  <c r="AI8" i="9"/>
  <c r="Z8" i="9"/>
  <c r="AI7" i="9"/>
  <c r="Z7" i="9"/>
  <c r="AI6" i="9"/>
  <c r="Z6" i="9"/>
  <c r="AE6" i="9" s="1"/>
  <c r="AF6" i="9" s="1"/>
  <c r="AI5" i="9"/>
  <c r="Z5" i="9"/>
  <c r="AE3" i="9" s="1"/>
  <c r="AF3" i="9" s="1"/>
  <c r="AI4" i="9"/>
  <c r="Z4" i="9"/>
  <c r="AI3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" i="9"/>
  <c r="F11" i="9"/>
  <c r="H27" i="9"/>
  <c r="P3" i="9"/>
  <c r="P4" i="9"/>
  <c r="Q4" i="9" s="1"/>
  <c r="P5" i="9"/>
  <c r="Q5" i="9" s="1"/>
  <c r="P6" i="9"/>
  <c r="Q6" i="9" s="1"/>
  <c r="P7" i="9"/>
  <c r="P8" i="9"/>
  <c r="Q8" i="9" s="1"/>
  <c r="P9" i="9"/>
  <c r="Q9" i="9" s="1"/>
  <c r="P10" i="9"/>
  <c r="Q10" i="9" s="1"/>
  <c r="P11" i="9"/>
  <c r="Q11" i="9" s="1"/>
  <c r="P12" i="9"/>
  <c r="Q12" i="9" s="1"/>
  <c r="P13" i="9"/>
  <c r="P14" i="9"/>
  <c r="Q14" i="9" s="1"/>
  <c r="P15" i="9"/>
  <c r="Q15" i="9" s="1"/>
  <c r="P16" i="9"/>
  <c r="Q16" i="9" s="1"/>
  <c r="P17" i="9"/>
  <c r="Q17" i="9" s="1"/>
  <c r="P18" i="9"/>
  <c r="Q18" i="9" s="1"/>
  <c r="P19" i="9"/>
  <c r="P20" i="9"/>
  <c r="Q20" i="9" s="1"/>
  <c r="P21" i="9"/>
  <c r="Q21" i="9" s="1"/>
  <c r="P22" i="9"/>
  <c r="Q22" i="9" s="1"/>
  <c r="P24" i="9"/>
  <c r="Q24" i="9" s="1"/>
  <c r="P25" i="9"/>
  <c r="P2" i="9"/>
  <c r="Q2" i="9" s="1"/>
  <c r="F13" i="9"/>
  <c r="F7" i="9"/>
  <c r="F5" i="9"/>
  <c r="N27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3" i="9"/>
  <c r="Q3" i="9"/>
  <c r="Q7" i="9"/>
  <c r="Q13" i="9"/>
  <c r="Q19" i="9"/>
  <c r="Q25" i="9"/>
  <c r="M27" i="9"/>
  <c r="C27" i="9"/>
  <c r="J14" i="9"/>
  <c r="F4" i="9"/>
  <c r="F6" i="9"/>
  <c r="F8" i="9"/>
  <c r="F12" i="9"/>
  <c r="F14" i="9"/>
  <c r="F15" i="9"/>
  <c r="F16" i="9"/>
  <c r="F17" i="9"/>
  <c r="F18" i="9"/>
  <c r="F19" i="9"/>
  <c r="F20" i="9"/>
  <c r="F21" i="9"/>
  <c r="F22" i="9"/>
  <c r="F23" i="9"/>
  <c r="F24" i="9"/>
  <c r="F25" i="9"/>
  <c r="K25" i="9" s="1"/>
  <c r="L25" i="9" s="1"/>
  <c r="F26" i="9"/>
  <c r="F3" i="9"/>
  <c r="K3" i="9" s="1"/>
  <c r="L3" i="9" s="1"/>
  <c r="N4" i="8"/>
  <c r="N5" i="8"/>
  <c r="N6" i="8"/>
  <c r="N7" i="8"/>
  <c r="O7" i="8" s="1"/>
  <c r="N8" i="8"/>
  <c r="N9" i="8"/>
  <c r="N10" i="8"/>
  <c r="N11" i="8"/>
  <c r="O11" i="8" s="1"/>
  <c r="N12" i="8"/>
  <c r="N13" i="8"/>
  <c r="N3" i="8"/>
  <c r="O3" i="8" s="1"/>
  <c r="V79" i="8"/>
  <c r="U78" i="8"/>
  <c r="U77" i="8"/>
  <c r="U74" i="8"/>
  <c r="U76" i="8"/>
  <c r="U75" i="8"/>
  <c r="U73" i="8"/>
  <c r="U72" i="8"/>
  <c r="U71" i="8"/>
  <c r="U70" i="8"/>
  <c r="U69" i="8"/>
  <c r="U68" i="8"/>
  <c r="U67" i="8"/>
  <c r="U66" i="8"/>
  <c r="U65" i="8"/>
  <c r="U62" i="8"/>
  <c r="U61" i="8"/>
  <c r="U63" i="8"/>
  <c r="U64" i="8"/>
  <c r="U60" i="8"/>
  <c r="U59" i="8"/>
  <c r="U58" i="8"/>
  <c r="U57" i="8"/>
  <c r="U56" i="8"/>
  <c r="U54" i="8"/>
  <c r="U53" i="8"/>
  <c r="U55" i="8"/>
  <c r="U52" i="8"/>
  <c r="U49" i="8"/>
  <c r="U48" i="8"/>
  <c r="U47" i="8"/>
  <c r="U46" i="8"/>
  <c r="AB3" i="8"/>
  <c r="AC46" i="8"/>
  <c r="AC47" i="8"/>
  <c r="AC48" i="8"/>
  <c r="AC49" i="8"/>
  <c r="AC50" i="8"/>
  <c r="Y79" i="8"/>
  <c r="Z79" i="8"/>
  <c r="AA79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61" i="8"/>
  <c r="AC61" i="8"/>
  <c r="AD58" i="8"/>
  <c r="AD59" i="8"/>
  <c r="AD60" i="8"/>
  <c r="AD57" i="8"/>
  <c r="AC58" i="8"/>
  <c r="AC59" i="8"/>
  <c r="AC60" i="8"/>
  <c r="AC57" i="8"/>
  <c r="AD47" i="8"/>
  <c r="AD48" i="8"/>
  <c r="AD49" i="8"/>
  <c r="AD50" i="8"/>
  <c r="AD51" i="8"/>
  <c r="AD52" i="8"/>
  <c r="AD53" i="8"/>
  <c r="AD54" i="8"/>
  <c r="AD55" i="8"/>
  <c r="AD56" i="8"/>
  <c r="AD46" i="8"/>
  <c r="AC51" i="8"/>
  <c r="AC52" i="8"/>
  <c r="AC53" i="8"/>
  <c r="AC54" i="8"/>
  <c r="AC55" i="8"/>
  <c r="AC56" i="8"/>
  <c r="AB79" i="8"/>
  <c r="AJ3" i="8"/>
  <c r="N17" i="8"/>
  <c r="O17" i="8" s="1"/>
  <c r="N16" i="8"/>
  <c r="O16" i="8" s="1"/>
  <c r="N15" i="8"/>
  <c r="O15" i="8" s="1"/>
  <c r="N14" i="8"/>
  <c r="O14" i="8" s="1"/>
  <c r="AJ17" i="8"/>
  <c r="AJ16" i="8"/>
  <c r="AJ15" i="8"/>
  <c r="AJ14" i="8"/>
  <c r="AI36" i="8"/>
  <c r="AD36" i="8"/>
  <c r="O4" i="8"/>
  <c r="O5" i="8"/>
  <c r="O6" i="8"/>
  <c r="O8" i="8"/>
  <c r="O9" i="8"/>
  <c r="O10" i="8"/>
  <c r="O12" i="8"/>
  <c r="O13" i="8"/>
  <c r="N18" i="8"/>
  <c r="O18" i="8" s="1"/>
  <c r="N19" i="8"/>
  <c r="O19" i="8" s="1"/>
  <c r="N20" i="8"/>
  <c r="O20" i="8" s="1"/>
  <c r="N21" i="8"/>
  <c r="O21" i="8" s="1"/>
  <c r="N22" i="8"/>
  <c r="O22" i="8" s="1"/>
  <c r="N23" i="8"/>
  <c r="O23" i="8" s="1"/>
  <c r="N24" i="8"/>
  <c r="O24" i="8" s="1"/>
  <c r="N25" i="8"/>
  <c r="O25" i="8" s="1"/>
  <c r="N26" i="8"/>
  <c r="O26" i="8" s="1"/>
  <c r="N27" i="8"/>
  <c r="O27" i="8" s="1"/>
  <c r="N28" i="8"/>
  <c r="O28" i="8" s="1"/>
  <c r="N29" i="8"/>
  <c r="O29" i="8" s="1"/>
  <c r="N30" i="8"/>
  <c r="O30" i="8" s="1"/>
  <c r="N31" i="8"/>
  <c r="O31" i="8" s="1"/>
  <c r="N32" i="8"/>
  <c r="O32" i="8" s="1"/>
  <c r="N33" i="8"/>
  <c r="O33" i="8" s="1"/>
  <c r="N34" i="8"/>
  <c r="O34" i="8" s="1"/>
  <c r="N35" i="8"/>
  <c r="O35" i="8" s="1"/>
  <c r="AD20" i="10" l="1"/>
  <c r="AE20" i="10" s="1"/>
  <c r="K3" i="10"/>
  <c r="L3" i="10" s="1"/>
  <c r="AD13" i="10"/>
  <c r="AE13" i="10" s="1"/>
  <c r="AD38" i="10"/>
  <c r="AE38" i="10" s="1"/>
  <c r="AH39" i="10"/>
  <c r="AD18" i="10"/>
  <c r="AE18" i="10" s="1"/>
  <c r="AD28" i="10"/>
  <c r="AE28" i="10" s="1"/>
  <c r="J39" i="10"/>
  <c r="I38" i="11"/>
  <c r="K38" i="11" s="1"/>
  <c r="AD27" i="9"/>
  <c r="AC27" i="10"/>
  <c r="AD27" i="10" s="1"/>
  <c r="AE27" i="10" s="1"/>
  <c r="J36" i="8"/>
  <c r="Y39" i="10"/>
  <c r="U79" i="8"/>
  <c r="S26" i="9"/>
  <c r="F39" i="10"/>
  <c r="F82" i="10"/>
  <c r="G39" i="10"/>
  <c r="O39" i="10"/>
  <c r="K38" i="10"/>
  <c r="L38" i="10" s="1"/>
  <c r="K27" i="10"/>
  <c r="L27" i="10" s="1"/>
  <c r="K39" i="10"/>
  <c r="K40" i="10" s="1"/>
  <c r="O27" i="9"/>
  <c r="AI27" i="9"/>
  <c r="Z27" i="9"/>
  <c r="F27" i="9"/>
  <c r="K14" i="9"/>
  <c r="L14" i="9" s="1"/>
  <c r="N36" i="8"/>
  <c r="G36" i="8"/>
  <c r="AC36" i="8"/>
  <c r="AC79" i="8"/>
  <c r="AD79" i="8"/>
  <c r="O36" i="8"/>
  <c r="F3" i="8"/>
  <c r="F30" i="8"/>
  <c r="F29" i="8"/>
  <c r="F33" i="8"/>
  <c r="F35" i="8"/>
  <c r="M36" i="8"/>
  <c r="H36" i="8"/>
  <c r="F32" i="8"/>
  <c r="F28" i="8"/>
  <c r="F27" i="8"/>
  <c r="F26" i="8"/>
  <c r="K26" i="8" s="1"/>
  <c r="L26" i="8" s="1"/>
  <c r="F25" i="8"/>
  <c r="F24" i="8"/>
  <c r="F23" i="8"/>
  <c r="F22" i="8"/>
  <c r="K22" i="8" s="1"/>
  <c r="L22" i="8" s="1"/>
  <c r="F21" i="8"/>
  <c r="F20" i="8"/>
  <c r="F19" i="8"/>
  <c r="F18" i="8"/>
  <c r="F17" i="8"/>
  <c r="F16" i="8"/>
  <c r="F15" i="8"/>
  <c r="F14" i="8"/>
  <c r="K14" i="8" s="1"/>
  <c r="L14" i="8" s="1"/>
  <c r="F13" i="8"/>
  <c r="F12" i="8"/>
  <c r="F11" i="8"/>
  <c r="K9" i="8" s="1"/>
  <c r="F10" i="8"/>
  <c r="F9" i="8"/>
  <c r="F8" i="8"/>
  <c r="F7" i="8"/>
  <c r="F6" i="8"/>
  <c r="F5" i="8"/>
  <c r="F4" i="8"/>
  <c r="W32" i="7"/>
  <c r="V32" i="7"/>
  <c r="R32" i="7"/>
  <c r="U31" i="7"/>
  <c r="U30" i="7"/>
  <c r="Z30" i="7" s="1"/>
  <c r="AA30" i="7" s="1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Z14" i="7" s="1"/>
  <c r="AA14" i="7" s="1"/>
  <c r="U13" i="7"/>
  <c r="U12" i="7"/>
  <c r="U11" i="7"/>
  <c r="U10" i="7"/>
  <c r="Z10" i="7" s="1"/>
  <c r="AA10" i="7" s="1"/>
  <c r="U9" i="7"/>
  <c r="U8" i="7"/>
  <c r="U7" i="7"/>
  <c r="U6" i="7"/>
  <c r="U5" i="7"/>
  <c r="U4" i="7"/>
  <c r="U3" i="7"/>
  <c r="G32" i="7"/>
  <c r="H32" i="7"/>
  <c r="C3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K21" i="7" s="1"/>
  <c r="L21" i="7" s="1"/>
  <c r="F22" i="7"/>
  <c r="F23" i="7"/>
  <c r="F24" i="7"/>
  <c r="F25" i="7"/>
  <c r="F26" i="7"/>
  <c r="F27" i="7"/>
  <c r="F28" i="7"/>
  <c r="F29" i="7"/>
  <c r="F30" i="7"/>
  <c r="K30" i="7" s="1"/>
  <c r="L30" i="7" s="1"/>
  <c r="F31" i="7"/>
  <c r="L9" i="8" l="1"/>
  <c r="K8" i="7"/>
  <c r="L8" i="7" s="1"/>
  <c r="Z3" i="7"/>
  <c r="AA3" i="7" s="1"/>
  <c r="K3" i="8"/>
  <c r="L3" i="8" s="1"/>
  <c r="K25" i="7"/>
  <c r="L25" i="7" s="1"/>
  <c r="Z8" i="7"/>
  <c r="AA8" i="7" s="1"/>
  <c r="K14" i="7"/>
  <c r="L14" i="7" s="1"/>
  <c r="K10" i="7"/>
  <c r="L10" i="7" s="1"/>
  <c r="Z21" i="7"/>
  <c r="AA21" i="7" s="1"/>
  <c r="Z25" i="7"/>
  <c r="AA25" i="7" s="1"/>
  <c r="K18" i="8"/>
  <c r="L18" i="8" s="1"/>
  <c r="U32" i="7"/>
  <c r="AC39" i="10"/>
  <c r="AD39" i="10" s="1"/>
  <c r="AD40" i="10" s="1"/>
  <c r="AE27" i="9"/>
  <c r="AF27" i="9"/>
  <c r="G27" i="9"/>
  <c r="J27" i="9"/>
  <c r="L27" i="9"/>
  <c r="K27" i="9"/>
  <c r="F34" i="8"/>
  <c r="F31" i="8"/>
  <c r="K31" i="8" s="1"/>
  <c r="L31" i="8" s="1"/>
  <c r="K36" i="8" l="1"/>
  <c r="F36" i="8"/>
  <c r="Z32" i="7"/>
  <c r="F3" i="7"/>
  <c r="K3" i="7" l="1"/>
  <c r="L3" i="7" s="1"/>
  <c r="F32" i="7"/>
  <c r="J32" i="7"/>
  <c r="T25" i="6"/>
  <c r="S25" i="6"/>
  <c r="O25" i="6"/>
  <c r="V24" i="6"/>
  <c r="R24" i="6"/>
  <c r="V23" i="6"/>
  <c r="R23" i="6"/>
  <c r="V22" i="6"/>
  <c r="R22" i="6"/>
  <c r="V21" i="6"/>
  <c r="R21" i="6"/>
  <c r="V19" i="6"/>
  <c r="R19" i="6"/>
  <c r="V18" i="6"/>
  <c r="R18" i="6"/>
  <c r="V17" i="6"/>
  <c r="R17" i="6"/>
  <c r="V16" i="6"/>
  <c r="R16" i="6"/>
  <c r="V14" i="6"/>
  <c r="R14" i="6"/>
  <c r="V13" i="6"/>
  <c r="R13" i="6"/>
  <c r="V12" i="6"/>
  <c r="R12" i="6"/>
  <c r="V11" i="6"/>
  <c r="R11" i="6"/>
  <c r="V9" i="6"/>
  <c r="R9" i="6"/>
  <c r="V8" i="6"/>
  <c r="R8" i="6"/>
  <c r="V7" i="6"/>
  <c r="R7" i="6"/>
  <c r="V6" i="6"/>
  <c r="R6" i="6"/>
  <c r="V5" i="6"/>
  <c r="V25" i="6" s="1"/>
  <c r="R5" i="6"/>
  <c r="F25" i="6"/>
  <c r="G25" i="6"/>
  <c r="E23" i="6"/>
  <c r="E24" i="6"/>
  <c r="B25" i="6"/>
  <c r="I6" i="6"/>
  <c r="I7" i="6"/>
  <c r="I8" i="6"/>
  <c r="I9" i="6"/>
  <c r="I11" i="6"/>
  <c r="I12" i="6"/>
  <c r="I13" i="6"/>
  <c r="I14" i="6"/>
  <c r="I16" i="6"/>
  <c r="I17" i="6"/>
  <c r="I18" i="6"/>
  <c r="I19" i="6"/>
  <c r="I21" i="6"/>
  <c r="I22" i="6"/>
  <c r="I23" i="6"/>
  <c r="I24" i="6"/>
  <c r="E6" i="6"/>
  <c r="E7" i="6"/>
  <c r="E8" i="6"/>
  <c r="E9" i="6"/>
  <c r="E11" i="6"/>
  <c r="E12" i="6"/>
  <c r="E13" i="6"/>
  <c r="E14" i="6"/>
  <c r="E16" i="6"/>
  <c r="E17" i="6"/>
  <c r="E18" i="6"/>
  <c r="E19" i="6"/>
  <c r="E21" i="6"/>
  <c r="E22" i="6"/>
  <c r="I5" i="6"/>
  <c r="E5" i="6"/>
  <c r="B47" i="5"/>
  <c r="P47" i="5"/>
  <c r="U47" i="5"/>
  <c r="T47" i="5"/>
  <c r="W46" i="5"/>
  <c r="S46" i="5"/>
  <c r="W45" i="5"/>
  <c r="S45" i="5"/>
  <c r="S44" i="5"/>
  <c r="W43" i="5"/>
  <c r="S43" i="5"/>
  <c r="W42" i="5"/>
  <c r="S42" i="5"/>
  <c r="W41" i="5"/>
  <c r="S41" i="5"/>
  <c r="W40" i="5"/>
  <c r="S40" i="5"/>
  <c r="S39" i="5"/>
  <c r="W38" i="5"/>
  <c r="S38" i="5"/>
  <c r="W37" i="5"/>
  <c r="S37" i="5"/>
  <c r="W36" i="5"/>
  <c r="S36" i="5"/>
  <c r="W35" i="5"/>
  <c r="S35" i="5"/>
  <c r="W34" i="5"/>
  <c r="S34" i="5"/>
  <c r="S33" i="5"/>
  <c r="W32" i="5"/>
  <c r="S32" i="5"/>
  <c r="W31" i="5"/>
  <c r="S31" i="5"/>
  <c r="W30" i="5"/>
  <c r="S30" i="5"/>
  <c r="W29" i="5"/>
  <c r="S29" i="5"/>
  <c r="W28" i="5"/>
  <c r="S28" i="5"/>
  <c r="W27" i="5"/>
  <c r="S27" i="5"/>
  <c r="W26" i="5"/>
  <c r="S26" i="5"/>
  <c r="W25" i="5"/>
  <c r="S25" i="5"/>
  <c r="S24" i="5"/>
  <c r="W23" i="5"/>
  <c r="S23" i="5"/>
  <c r="W22" i="5"/>
  <c r="S22" i="5"/>
  <c r="W21" i="5"/>
  <c r="S21" i="5"/>
  <c r="W20" i="5"/>
  <c r="S20" i="5"/>
  <c r="W19" i="5"/>
  <c r="S19" i="5"/>
  <c r="S18" i="5"/>
  <c r="W17" i="5"/>
  <c r="S17" i="5"/>
  <c r="W16" i="5"/>
  <c r="S16" i="5"/>
  <c r="W15" i="5"/>
  <c r="S15" i="5"/>
  <c r="S14" i="5"/>
  <c r="W13" i="5"/>
  <c r="S13" i="5"/>
  <c r="W12" i="5"/>
  <c r="S12" i="5"/>
  <c r="W11" i="5"/>
  <c r="S11" i="5"/>
  <c r="W10" i="5"/>
  <c r="S10" i="5"/>
  <c r="W9" i="5"/>
  <c r="S9" i="5"/>
  <c r="W8" i="5"/>
  <c r="S8" i="5"/>
  <c r="S7" i="5"/>
  <c r="W6" i="5"/>
  <c r="S6" i="5"/>
  <c r="W5" i="5"/>
  <c r="S5" i="5"/>
  <c r="W4" i="5"/>
  <c r="S4" i="5"/>
  <c r="F47" i="5"/>
  <c r="I30" i="5"/>
  <c r="I27" i="5"/>
  <c r="I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G47" i="5"/>
  <c r="I40" i="5"/>
  <c r="J40" i="5" s="1"/>
  <c r="K40" i="5" s="1"/>
  <c r="I41" i="5"/>
  <c r="I42" i="5"/>
  <c r="J42" i="5" s="1"/>
  <c r="K42" i="5" s="1"/>
  <c r="I43" i="5"/>
  <c r="I45" i="5"/>
  <c r="I46" i="5"/>
  <c r="I38" i="5"/>
  <c r="I37" i="5"/>
  <c r="I36" i="5"/>
  <c r="I35" i="5"/>
  <c r="I34" i="5"/>
  <c r="I32" i="5"/>
  <c r="I31" i="5"/>
  <c r="I29" i="5"/>
  <c r="I28" i="5"/>
  <c r="I26" i="5"/>
  <c r="I25" i="5"/>
  <c r="I23" i="5"/>
  <c r="I22" i="5"/>
  <c r="I21" i="5"/>
  <c r="I20" i="5"/>
  <c r="I19" i="5"/>
  <c r="I17" i="5"/>
  <c r="I16" i="5"/>
  <c r="I15" i="5"/>
  <c r="I13" i="5"/>
  <c r="I12" i="5"/>
  <c r="I11" i="5"/>
  <c r="I10" i="5"/>
  <c r="I8" i="5"/>
  <c r="I6" i="5"/>
  <c r="I5" i="5"/>
  <c r="I4" i="5"/>
  <c r="E4" i="5"/>
  <c r="B17" i="4"/>
  <c r="I10" i="4"/>
  <c r="I11" i="4"/>
  <c r="J11" i="4"/>
  <c r="J10" i="4"/>
  <c r="E11" i="4"/>
  <c r="E10" i="4"/>
  <c r="S17" i="4"/>
  <c r="N17" i="4"/>
  <c r="U16" i="4"/>
  <c r="Q16" i="4"/>
  <c r="U15" i="4"/>
  <c r="Q15" i="4"/>
  <c r="U10" i="4"/>
  <c r="Q10" i="4"/>
  <c r="U9" i="4"/>
  <c r="Q9" i="4"/>
  <c r="U8" i="4"/>
  <c r="Q8" i="4"/>
  <c r="U7" i="4"/>
  <c r="Q7" i="4"/>
  <c r="U6" i="4"/>
  <c r="Q6" i="4"/>
  <c r="U5" i="4"/>
  <c r="Q5" i="4"/>
  <c r="E16" i="4"/>
  <c r="E15" i="4"/>
  <c r="I16" i="4"/>
  <c r="I15" i="4"/>
  <c r="I6" i="4"/>
  <c r="I7" i="4"/>
  <c r="I8" i="4"/>
  <c r="I9" i="4"/>
  <c r="I12" i="4"/>
  <c r="I5" i="4"/>
  <c r="E6" i="4"/>
  <c r="E7" i="4"/>
  <c r="E8" i="4"/>
  <c r="E9" i="4"/>
  <c r="E12" i="4"/>
  <c r="E5" i="4"/>
  <c r="G17" i="4"/>
  <c r="I4" i="3"/>
  <c r="I18" i="3"/>
  <c r="N45" i="3"/>
  <c r="B40" i="3"/>
  <c r="S45" i="3"/>
  <c r="G40" i="3"/>
  <c r="U17" i="3"/>
  <c r="I21" i="3"/>
  <c r="I20" i="3"/>
  <c r="E21" i="3"/>
  <c r="E20" i="3"/>
  <c r="U44" i="3"/>
  <c r="Q44" i="3"/>
  <c r="Q38" i="3"/>
  <c r="Q39" i="3"/>
  <c r="Q40" i="3"/>
  <c r="Q41" i="3"/>
  <c r="Q42" i="3"/>
  <c r="Q43" i="3"/>
  <c r="U39" i="3"/>
  <c r="U40" i="3"/>
  <c r="U41" i="3"/>
  <c r="U42" i="3"/>
  <c r="U43" i="3"/>
  <c r="U34" i="3"/>
  <c r="U35" i="3"/>
  <c r="U36" i="3"/>
  <c r="U37" i="3"/>
  <c r="Q6" i="3"/>
  <c r="Q7" i="3"/>
  <c r="Q8" i="3"/>
  <c r="Q9" i="3"/>
  <c r="Q10" i="3"/>
  <c r="Q11" i="3"/>
  <c r="Q12" i="3"/>
  <c r="Q13" i="3"/>
  <c r="Q15" i="3"/>
  <c r="Q16" i="3"/>
  <c r="Q17" i="3"/>
  <c r="Q18" i="3"/>
  <c r="Q19" i="3"/>
  <c r="Q20" i="3"/>
  <c r="Q21" i="3"/>
  <c r="Q23" i="3"/>
  <c r="Q24" i="3"/>
  <c r="Q26" i="3"/>
  <c r="Q27" i="3"/>
  <c r="Q29" i="3"/>
  <c r="Q30" i="3"/>
  <c r="Q32" i="3"/>
  <c r="Q33" i="3"/>
  <c r="Q34" i="3"/>
  <c r="Q35" i="3"/>
  <c r="Q36" i="3"/>
  <c r="Q37" i="3"/>
  <c r="I5" i="3"/>
  <c r="I6" i="3"/>
  <c r="I7" i="3"/>
  <c r="I8" i="3"/>
  <c r="I10" i="3"/>
  <c r="I11" i="3"/>
  <c r="I12" i="3"/>
  <c r="I13" i="3"/>
  <c r="I15" i="3"/>
  <c r="I16" i="3"/>
  <c r="I17" i="3"/>
  <c r="I19" i="3"/>
  <c r="I22" i="3"/>
  <c r="I23" i="3"/>
  <c r="I25" i="3"/>
  <c r="I26" i="3"/>
  <c r="I28" i="3"/>
  <c r="I29" i="3"/>
  <c r="I31" i="3"/>
  <c r="I32" i="3"/>
  <c r="I34" i="3"/>
  <c r="I35" i="3"/>
  <c r="I36" i="3"/>
  <c r="I37" i="3"/>
  <c r="I38" i="3"/>
  <c r="I39" i="3"/>
  <c r="E5" i="3"/>
  <c r="E6" i="3"/>
  <c r="E7" i="3"/>
  <c r="E8" i="3"/>
  <c r="E10" i="3"/>
  <c r="E11" i="3"/>
  <c r="E12" i="3"/>
  <c r="E13" i="3"/>
  <c r="E15" i="3"/>
  <c r="E16" i="3"/>
  <c r="E17" i="3"/>
  <c r="E18" i="3"/>
  <c r="E19" i="3"/>
  <c r="E22" i="3"/>
  <c r="E23" i="3"/>
  <c r="E25" i="3"/>
  <c r="E26" i="3"/>
  <c r="E28" i="3"/>
  <c r="E29" i="3"/>
  <c r="E31" i="3"/>
  <c r="E32" i="3"/>
  <c r="E34" i="3"/>
  <c r="E35" i="3"/>
  <c r="E36" i="3"/>
  <c r="E37" i="3"/>
  <c r="E38" i="3"/>
  <c r="E39" i="3"/>
  <c r="U33" i="3"/>
  <c r="U32" i="3"/>
  <c r="U30" i="3"/>
  <c r="U29" i="3"/>
  <c r="U27" i="3"/>
  <c r="U26" i="3"/>
  <c r="U24" i="3"/>
  <c r="U23" i="3"/>
  <c r="U21" i="3"/>
  <c r="U20" i="3"/>
  <c r="U19" i="3"/>
  <c r="U18" i="3"/>
  <c r="V17" i="3"/>
  <c r="W17" i="3" s="1"/>
  <c r="U16" i="3"/>
  <c r="U15" i="3"/>
  <c r="U13" i="3"/>
  <c r="U12" i="3"/>
  <c r="U11" i="3"/>
  <c r="U10" i="3"/>
  <c r="U8" i="3"/>
  <c r="U7" i="3"/>
  <c r="U6" i="3"/>
  <c r="U5" i="3"/>
  <c r="Q5" i="3"/>
  <c r="U4" i="3"/>
  <c r="Q4" i="3"/>
  <c r="E4" i="3"/>
  <c r="I25" i="1"/>
  <c r="I26" i="1"/>
  <c r="J26" i="1" s="1"/>
  <c r="K26" i="1" s="1"/>
  <c r="I27" i="1"/>
  <c r="I28" i="1"/>
  <c r="I31" i="1"/>
  <c r="I32" i="1"/>
  <c r="J32" i="1" s="1"/>
  <c r="K32" i="1" s="1"/>
  <c r="I33" i="1"/>
  <c r="I34" i="1"/>
  <c r="I35" i="1"/>
  <c r="I36" i="1"/>
  <c r="J36" i="1" s="1"/>
  <c r="K36" i="1" s="1"/>
  <c r="B37" i="2"/>
  <c r="B67" i="2"/>
  <c r="E47" i="2"/>
  <c r="E48" i="2"/>
  <c r="E49" i="2"/>
  <c r="E50" i="2"/>
  <c r="E51" i="2"/>
  <c r="E52" i="2"/>
  <c r="J52" i="2" s="1"/>
  <c r="E53" i="2"/>
  <c r="E54" i="2"/>
  <c r="E55" i="2"/>
  <c r="E56" i="2"/>
  <c r="E57" i="2"/>
  <c r="J57" i="2" s="1"/>
  <c r="E58" i="2"/>
  <c r="E59" i="2"/>
  <c r="E60" i="2"/>
  <c r="E61" i="2"/>
  <c r="E62" i="2"/>
  <c r="E63" i="2"/>
  <c r="J63" i="2" s="1"/>
  <c r="E64" i="2"/>
  <c r="E65" i="2"/>
  <c r="E66" i="2"/>
  <c r="I66" i="2"/>
  <c r="J66" i="2" s="1"/>
  <c r="I65" i="2"/>
  <c r="I64" i="2"/>
  <c r="I62" i="2"/>
  <c r="J62" i="2" s="1"/>
  <c r="I61" i="2"/>
  <c r="J61" i="2" s="1"/>
  <c r="I60" i="2"/>
  <c r="J60" i="2" s="1"/>
  <c r="I59" i="2"/>
  <c r="I58" i="2"/>
  <c r="J58" i="2" s="1"/>
  <c r="I56" i="2"/>
  <c r="I55" i="2"/>
  <c r="I54" i="2"/>
  <c r="J54" i="2" s="1"/>
  <c r="I53" i="2"/>
  <c r="I51" i="2"/>
  <c r="J51" i="2" s="1"/>
  <c r="I50" i="2"/>
  <c r="J50" i="2" s="1"/>
  <c r="I49" i="2"/>
  <c r="J49" i="2" s="1"/>
  <c r="I48" i="2"/>
  <c r="I47" i="2"/>
  <c r="J47" i="2" s="1"/>
  <c r="I46" i="2"/>
  <c r="E46" i="2"/>
  <c r="E5" i="2"/>
  <c r="I5" i="2"/>
  <c r="I10" i="2"/>
  <c r="E10" i="2"/>
  <c r="I18" i="2"/>
  <c r="I20" i="2"/>
  <c r="I21" i="2"/>
  <c r="I22" i="2"/>
  <c r="I23" i="2"/>
  <c r="I25" i="2"/>
  <c r="I26" i="2"/>
  <c r="I27" i="2"/>
  <c r="I28" i="2"/>
  <c r="I29" i="2"/>
  <c r="I31" i="2"/>
  <c r="I32" i="2"/>
  <c r="I34" i="2"/>
  <c r="I35" i="2"/>
  <c r="I36" i="2"/>
  <c r="E18" i="2"/>
  <c r="E19" i="2"/>
  <c r="J19" i="2" s="1"/>
  <c r="E20" i="2"/>
  <c r="J20" i="2" s="1"/>
  <c r="K20" i="2" s="1"/>
  <c r="E21" i="2"/>
  <c r="J21" i="2" s="1"/>
  <c r="K21" i="2" s="1"/>
  <c r="E22" i="2"/>
  <c r="J22" i="2" s="1"/>
  <c r="K22" i="2" s="1"/>
  <c r="E23" i="2"/>
  <c r="J23" i="2" s="1"/>
  <c r="K23" i="2" s="1"/>
  <c r="E24" i="2"/>
  <c r="J24" i="2" s="1"/>
  <c r="E25" i="2"/>
  <c r="E26" i="2"/>
  <c r="E27" i="2"/>
  <c r="E28" i="2"/>
  <c r="E29" i="2"/>
  <c r="E30" i="2"/>
  <c r="J30" i="2" s="1"/>
  <c r="E31" i="2"/>
  <c r="E32" i="2"/>
  <c r="J32" i="2" s="1"/>
  <c r="K32" i="2" s="1"/>
  <c r="E33" i="2"/>
  <c r="J33" i="2" s="1"/>
  <c r="E34" i="2"/>
  <c r="E35" i="2"/>
  <c r="E36" i="2"/>
  <c r="I17" i="2"/>
  <c r="E17" i="2"/>
  <c r="I16" i="2"/>
  <c r="E16" i="2"/>
  <c r="I15" i="2"/>
  <c r="E15" i="2"/>
  <c r="I14" i="2"/>
  <c r="E14" i="2"/>
  <c r="I13" i="2"/>
  <c r="E13" i="2"/>
  <c r="I12" i="2"/>
  <c r="E12" i="2"/>
  <c r="I9" i="2"/>
  <c r="E9" i="2"/>
  <c r="I8" i="2"/>
  <c r="E8" i="2"/>
  <c r="I7" i="2"/>
  <c r="E7" i="2"/>
  <c r="I6" i="2"/>
  <c r="E6" i="2"/>
  <c r="I14" i="1"/>
  <c r="I15" i="1"/>
  <c r="I16" i="1"/>
  <c r="I17" i="1"/>
  <c r="I18" i="1"/>
  <c r="E14" i="1"/>
  <c r="E15" i="1"/>
  <c r="E16" i="1"/>
  <c r="J16" i="1" s="1"/>
  <c r="K16" i="1" s="1"/>
  <c r="E17" i="1"/>
  <c r="E18" i="1"/>
  <c r="E7" i="1"/>
  <c r="E8" i="1"/>
  <c r="E9" i="1"/>
  <c r="E10" i="1"/>
  <c r="I7" i="1"/>
  <c r="I8" i="1"/>
  <c r="J8" i="1" s="1"/>
  <c r="K8" i="1" s="1"/>
  <c r="I9" i="1"/>
  <c r="J9" i="1" s="1"/>
  <c r="K9" i="1" s="1"/>
  <c r="I10" i="1"/>
  <c r="J7" i="1"/>
  <c r="J10" i="1"/>
  <c r="K10" i="1" s="1"/>
  <c r="K7" i="1"/>
  <c r="G37" i="1"/>
  <c r="B37" i="1"/>
  <c r="E36" i="1"/>
  <c r="E35" i="1"/>
  <c r="E34" i="1"/>
  <c r="E33" i="1"/>
  <c r="E32" i="1"/>
  <c r="E31" i="1"/>
  <c r="E28" i="1"/>
  <c r="E27" i="1"/>
  <c r="E26" i="1"/>
  <c r="E25" i="1"/>
  <c r="I24" i="1"/>
  <c r="E24" i="1"/>
  <c r="G19" i="1"/>
  <c r="B19" i="1"/>
  <c r="I13" i="1"/>
  <c r="I19" i="1" s="1"/>
  <c r="I6" i="1"/>
  <c r="E13" i="1"/>
  <c r="E6" i="1"/>
  <c r="J17" i="1" l="1"/>
  <c r="K17" i="1" s="1"/>
  <c r="J56" i="2"/>
  <c r="J35" i="1"/>
  <c r="K35" i="1" s="1"/>
  <c r="J25" i="1"/>
  <c r="K25" i="1" s="1"/>
  <c r="J13" i="1"/>
  <c r="K13" i="1" s="1"/>
  <c r="J31" i="2"/>
  <c r="K31" i="2" s="1"/>
  <c r="J48" i="2"/>
  <c r="K48" i="2" s="1"/>
  <c r="J34" i="1"/>
  <c r="K34" i="1" s="1"/>
  <c r="J28" i="1"/>
  <c r="K28" i="1" s="1"/>
  <c r="J9" i="4"/>
  <c r="K9" i="4" s="1"/>
  <c r="Q17" i="4"/>
  <c r="J55" i="2"/>
  <c r="K55" i="2" s="1"/>
  <c r="J31" i="1"/>
  <c r="K31" i="1" s="1"/>
  <c r="E37" i="1"/>
  <c r="J18" i="1"/>
  <c r="K18" i="1" s="1"/>
  <c r="J14" i="1"/>
  <c r="K14" i="1" s="1"/>
  <c r="J15" i="1"/>
  <c r="K15" i="1" s="1"/>
  <c r="E67" i="2"/>
  <c r="J59" i="2"/>
  <c r="K59" i="2" s="1"/>
  <c r="J64" i="2"/>
  <c r="K64" i="2" s="1"/>
  <c r="J65" i="2"/>
  <c r="J53" i="2"/>
  <c r="J33" i="1"/>
  <c r="K33" i="1" s="1"/>
  <c r="J27" i="1"/>
  <c r="K27" i="1" s="1"/>
  <c r="U17" i="4"/>
  <c r="J6" i="1"/>
  <c r="J10" i="2"/>
  <c r="K10" i="2" s="1"/>
  <c r="J21" i="3"/>
  <c r="K21" i="3" s="1"/>
  <c r="V6" i="4"/>
  <c r="W6" i="4" s="1"/>
  <c r="V7" i="4"/>
  <c r="W7" i="4" s="1"/>
  <c r="V9" i="4"/>
  <c r="W9" i="4" s="1"/>
  <c r="V10" i="4"/>
  <c r="W10" i="4" s="1"/>
  <c r="J23" i="6"/>
  <c r="K23" i="6" s="1"/>
  <c r="W5" i="6"/>
  <c r="X5" i="6" s="1"/>
  <c r="W7" i="6"/>
  <c r="X7" i="6" s="1"/>
  <c r="W8" i="6"/>
  <c r="X8" i="6" s="1"/>
  <c r="W9" i="6"/>
  <c r="X9" i="6" s="1"/>
  <c r="W11" i="6"/>
  <c r="X11" i="6" s="1"/>
  <c r="W12" i="6"/>
  <c r="X12" i="6" s="1"/>
  <c r="W13" i="6"/>
  <c r="X13" i="6" s="1"/>
  <c r="W14" i="6"/>
  <c r="X14" i="6" s="1"/>
  <c r="W16" i="6"/>
  <c r="X16" i="6" s="1"/>
  <c r="W17" i="6"/>
  <c r="X17" i="6" s="1"/>
  <c r="W18" i="6"/>
  <c r="X18" i="6" s="1"/>
  <c r="W19" i="6"/>
  <c r="X19" i="6" s="1"/>
  <c r="W21" i="6"/>
  <c r="X21" i="6" s="1"/>
  <c r="W22" i="6"/>
  <c r="X22" i="6" s="1"/>
  <c r="W24" i="6"/>
  <c r="X24" i="6" s="1"/>
  <c r="K32" i="7"/>
  <c r="W23" i="6"/>
  <c r="X23" i="6" s="1"/>
  <c r="W6" i="6"/>
  <c r="X6" i="6" s="1"/>
  <c r="W25" i="6"/>
  <c r="R25" i="6"/>
  <c r="J21" i="6"/>
  <c r="K21" i="6" s="1"/>
  <c r="J18" i="6"/>
  <c r="K18" i="6" s="1"/>
  <c r="J16" i="6"/>
  <c r="K16" i="6" s="1"/>
  <c r="J13" i="6"/>
  <c r="K13" i="6" s="1"/>
  <c r="J11" i="6"/>
  <c r="K11" i="6" s="1"/>
  <c r="J8" i="6"/>
  <c r="K8" i="6" s="1"/>
  <c r="J6" i="6"/>
  <c r="K6" i="6" s="1"/>
  <c r="I25" i="6"/>
  <c r="E25" i="6"/>
  <c r="J24" i="6"/>
  <c r="K24" i="6" s="1"/>
  <c r="J22" i="6"/>
  <c r="K22" i="6" s="1"/>
  <c r="J19" i="6"/>
  <c r="K19" i="6" s="1"/>
  <c r="J17" i="6"/>
  <c r="K17" i="6" s="1"/>
  <c r="J14" i="6"/>
  <c r="K14" i="6" s="1"/>
  <c r="J12" i="6"/>
  <c r="K12" i="6" s="1"/>
  <c r="J9" i="6"/>
  <c r="K9" i="6" s="1"/>
  <c r="J7" i="6"/>
  <c r="K7" i="6" s="1"/>
  <c r="J5" i="6"/>
  <c r="J9" i="5"/>
  <c r="K9" i="5" s="1"/>
  <c r="X8" i="5"/>
  <c r="Y8" i="5" s="1"/>
  <c r="X10" i="5"/>
  <c r="Y10" i="5" s="1"/>
  <c r="X11" i="5"/>
  <c r="Y11" i="5" s="1"/>
  <c r="X12" i="5"/>
  <c r="Y12" i="5" s="1"/>
  <c r="X13" i="5"/>
  <c r="Y13" i="5" s="1"/>
  <c r="X17" i="5"/>
  <c r="Y17" i="5" s="1"/>
  <c r="X19" i="5"/>
  <c r="Y19" i="5" s="1"/>
  <c r="X23" i="5"/>
  <c r="Y23" i="5" s="1"/>
  <c r="X27" i="5"/>
  <c r="Y27" i="5" s="1"/>
  <c r="X31" i="5"/>
  <c r="Y31" i="5" s="1"/>
  <c r="X36" i="5"/>
  <c r="Y36" i="5" s="1"/>
  <c r="X37" i="5"/>
  <c r="Y37" i="5" s="1"/>
  <c r="X38" i="5"/>
  <c r="Y38" i="5" s="1"/>
  <c r="X40" i="5"/>
  <c r="Y40" i="5" s="1"/>
  <c r="X43" i="5"/>
  <c r="Y43" i="5" s="1"/>
  <c r="J30" i="5"/>
  <c r="K30" i="5" s="1"/>
  <c r="J46" i="5"/>
  <c r="K46" i="5" s="1"/>
  <c r="J27" i="5"/>
  <c r="K27" i="5" s="1"/>
  <c r="X16" i="5"/>
  <c r="Y16" i="5" s="1"/>
  <c r="X15" i="5"/>
  <c r="Y15" i="5" s="1"/>
  <c r="X9" i="5"/>
  <c r="Y9" i="5" s="1"/>
  <c r="W47" i="5"/>
  <c r="X46" i="5"/>
  <c r="Y46" i="5" s="1"/>
  <c r="X45" i="5"/>
  <c r="Y45" i="5" s="1"/>
  <c r="X42" i="5"/>
  <c r="Y42" i="5" s="1"/>
  <c r="X41" i="5"/>
  <c r="Y41" i="5" s="1"/>
  <c r="X35" i="5"/>
  <c r="Y35" i="5" s="1"/>
  <c r="X34" i="5"/>
  <c r="Y34" i="5" s="1"/>
  <c r="X32" i="5"/>
  <c r="Y32" i="5" s="1"/>
  <c r="X30" i="5"/>
  <c r="Y30" i="5" s="1"/>
  <c r="X29" i="5"/>
  <c r="Y29" i="5" s="1"/>
  <c r="X28" i="5"/>
  <c r="Y28" i="5" s="1"/>
  <c r="X26" i="5"/>
  <c r="Y26" i="5" s="1"/>
  <c r="X25" i="5"/>
  <c r="Y25" i="5" s="1"/>
  <c r="X22" i="5"/>
  <c r="Y22" i="5" s="1"/>
  <c r="S47" i="5"/>
  <c r="X21" i="5"/>
  <c r="Y21" i="5" s="1"/>
  <c r="X20" i="5"/>
  <c r="Y20" i="5" s="1"/>
  <c r="X6" i="5"/>
  <c r="Y6" i="5" s="1"/>
  <c r="X5" i="5"/>
  <c r="Y5" i="5" s="1"/>
  <c r="X4" i="5"/>
  <c r="J45" i="5"/>
  <c r="K45" i="5" s="1"/>
  <c r="E47" i="5"/>
  <c r="J43" i="5"/>
  <c r="K43" i="5" s="1"/>
  <c r="J41" i="5"/>
  <c r="K41" i="5" s="1"/>
  <c r="J22" i="5"/>
  <c r="K22" i="5" s="1"/>
  <c r="J15" i="5"/>
  <c r="K15" i="5" s="1"/>
  <c r="J38" i="5"/>
  <c r="K38" i="5" s="1"/>
  <c r="J37" i="5"/>
  <c r="K37" i="5" s="1"/>
  <c r="J36" i="5"/>
  <c r="K36" i="5" s="1"/>
  <c r="J35" i="5"/>
  <c r="K35" i="5" s="1"/>
  <c r="J34" i="5"/>
  <c r="K34" i="5" s="1"/>
  <c r="J32" i="5"/>
  <c r="K32" i="5" s="1"/>
  <c r="J31" i="5"/>
  <c r="K31" i="5" s="1"/>
  <c r="J29" i="5"/>
  <c r="K29" i="5" s="1"/>
  <c r="J28" i="5"/>
  <c r="K28" i="5" s="1"/>
  <c r="J26" i="5"/>
  <c r="K26" i="5" s="1"/>
  <c r="J25" i="5"/>
  <c r="K25" i="5" s="1"/>
  <c r="J23" i="5"/>
  <c r="K23" i="5" s="1"/>
  <c r="J21" i="5"/>
  <c r="K21" i="5" s="1"/>
  <c r="J20" i="5"/>
  <c r="K20" i="5" s="1"/>
  <c r="J19" i="5"/>
  <c r="K19" i="5" s="1"/>
  <c r="J17" i="5"/>
  <c r="K17" i="5" s="1"/>
  <c r="J16" i="5"/>
  <c r="K16" i="5" s="1"/>
  <c r="J13" i="5"/>
  <c r="K13" i="5" s="1"/>
  <c r="J12" i="5"/>
  <c r="K12" i="5" s="1"/>
  <c r="J11" i="5"/>
  <c r="K11" i="5" s="1"/>
  <c r="J10" i="5"/>
  <c r="K10" i="5" s="1"/>
  <c r="J8" i="5"/>
  <c r="K8" i="5" s="1"/>
  <c r="J6" i="5"/>
  <c r="K6" i="5" s="1"/>
  <c r="J5" i="5"/>
  <c r="K5" i="5" s="1"/>
  <c r="J4" i="5"/>
  <c r="K4" i="5" s="1"/>
  <c r="I47" i="5"/>
  <c r="V8" i="4"/>
  <c r="W8" i="4" s="1"/>
  <c r="V16" i="4"/>
  <c r="W16" i="4" s="1"/>
  <c r="V15" i="4"/>
  <c r="W15" i="4" s="1"/>
  <c r="V5" i="4"/>
  <c r="I17" i="4"/>
  <c r="E17" i="4"/>
  <c r="J6" i="4"/>
  <c r="K6" i="4" s="1"/>
  <c r="J7" i="4"/>
  <c r="K7" i="4" s="1"/>
  <c r="J8" i="4"/>
  <c r="K8" i="4" s="1"/>
  <c r="J12" i="4"/>
  <c r="K12" i="4" s="1"/>
  <c r="J15" i="4"/>
  <c r="K15" i="4" s="1"/>
  <c r="J16" i="4"/>
  <c r="K16" i="4" s="1"/>
  <c r="J5" i="4"/>
  <c r="K5" i="4" s="1"/>
  <c r="E40" i="3"/>
  <c r="V43" i="3"/>
  <c r="W43" i="3" s="1"/>
  <c r="V41" i="3"/>
  <c r="W41" i="3" s="1"/>
  <c r="V44" i="3"/>
  <c r="W44" i="3" s="1"/>
  <c r="U45" i="3"/>
  <c r="I40" i="3"/>
  <c r="J20" i="3"/>
  <c r="V42" i="3"/>
  <c r="W42" i="3" s="1"/>
  <c r="V39" i="3"/>
  <c r="W39" i="3" s="1"/>
  <c r="J16" i="3"/>
  <c r="K16" i="3" s="1"/>
  <c r="J8" i="3"/>
  <c r="K8" i="3" s="1"/>
  <c r="V40" i="3"/>
  <c r="W40" i="3" s="1"/>
  <c r="J18" i="3"/>
  <c r="K18" i="3" s="1"/>
  <c r="J12" i="3"/>
  <c r="K12" i="3" s="1"/>
  <c r="J10" i="3"/>
  <c r="K10" i="3" s="1"/>
  <c r="J6" i="3"/>
  <c r="K6" i="3" s="1"/>
  <c r="J38" i="3"/>
  <c r="K38" i="3" s="1"/>
  <c r="J36" i="3"/>
  <c r="K36" i="3" s="1"/>
  <c r="J34" i="3"/>
  <c r="K34" i="3" s="1"/>
  <c r="J32" i="3"/>
  <c r="K32" i="3" s="1"/>
  <c r="J28" i="3"/>
  <c r="K28" i="3" s="1"/>
  <c r="J26" i="3"/>
  <c r="K26" i="3" s="1"/>
  <c r="J22" i="3"/>
  <c r="K22" i="3" s="1"/>
  <c r="V37" i="3"/>
  <c r="W37" i="3" s="1"/>
  <c r="V35" i="3"/>
  <c r="W35" i="3" s="1"/>
  <c r="J7" i="3"/>
  <c r="K7" i="3" s="1"/>
  <c r="J5" i="3"/>
  <c r="K5" i="3" s="1"/>
  <c r="V36" i="3"/>
  <c r="V34" i="3"/>
  <c r="W34" i="3" s="1"/>
  <c r="J39" i="3"/>
  <c r="K39" i="3" s="1"/>
  <c r="J37" i="3"/>
  <c r="K37" i="3" s="1"/>
  <c r="J35" i="3"/>
  <c r="K35" i="3" s="1"/>
  <c r="J31" i="3"/>
  <c r="K31" i="3" s="1"/>
  <c r="J29" i="3"/>
  <c r="K29" i="3" s="1"/>
  <c r="J25" i="3"/>
  <c r="K25" i="3" s="1"/>
  <c r="J23" i="3"/>
  <c r="K23" i="3" s="1"/>
  <c r="J19" i="3"/>
  <c r="K19" i="3" s="1"/>
  <c r="J17" i="3"/>
  <c r="K17" i="3" s="1"/>
  <c r="J15" i="3"/>
  <c r="K15" i="3" s="1"/>
  <c r="J11" i="3"/>
  <c r="K11" i="3" s="1"/>
  <c r="J13" i="3"/>
  <c r="K13" i="3" s="1"/>
  <c r="Q45" i="3"/>
  <c r="J4" i="3"/>
  <c r="K4" i="3" s="1"/>
  <c r="V5" i="3"/>
  <c r="W5" i="3" s="1"/>
  <c r="V6" i="3"/>
  <c r="W6" i="3" s="1"/>
  <c r="V7" i="3"/>
  <c r="W7" i="3" s="1"/>
  <c r="V8" i="3"/>
  <c r="W8" i="3" s="1"/>
  <c r="V10" i="3"/>
  <c r="W10" i="3" s="1"/>
  <c r="V11" i="3"/>
  <c r="W11" i="3" s="1"/>
  <c r="V12" i="3"/>
  <c r="W12" i="3" s="1"/>
  <c r="V13" i="3"/>
  <c r="W13" i="3" s="1"/>
  <c r="V15" i="3"/>
  <c r="W15" i="3" s="1"/>
  <c r="V16" i="3"/>
  <c r="W16" i="3" s="1"/>
  <c r="V18" i="3"/>
  <c r="W18" i="3" s="1"/>
  <c r="V19" i="3"/>
  <c r="W19" i="3" s="1"/>
  <c r="V20" i="3"/>
  <c r="W20" i="3" s="1"/>
  <c r="V21" i="3"/>
  <c r="W21" i="3" s="1"/>
  <c r="V23" i="3"/>
  <c r="W23" i="3" s="1"/>
  <c r="V24" i="3"/>
  <c r="W24" i="3" s="1"/>
  <c r="V26" i="3"/>
  <c r="W26" i="3" s="1"/>
  <c r="V27" i="3"/>
  <c r="W27" i="3" s="1"/>
  <c r="V29" i="3"/>
  <c r="W29" i="3" s="1"/>
  <c r="V30" i="3"/>
  <c r="W30" i="3" s="1"/>
  <c r="V32" i="3"/>
  <c r="W32" i="3" s="1"/>
  <c r="V33" i="3"/>
  <c r="W33" i="3" s="1"/>
  <c r="V4" i="3"/>
  <c r="W4" i="3" s="1"/>
  <c r="J5" i="2"/>
  <c r="K5" i="2" s="1"/>
  <c r="E37" i="2"/>
  <c r="K47" i="2"/>
  <c r="K51" i="2"/>
  <c r="K53" i="2"/>
  <c r="K54" i="2"/>
  <c r="K56" i="2"/>
  <c r="K58" i="2"/>
  <c r="K60" i="2"/>
  <c r="K61" i="2"/>
  <c r="K62" i="2"/>
  <c r="K65" i="2"/>
  <c r="K66" i="2"/>
  <c r="K50" i="2"/>
  <c r="K49" i="2"/>
  <c r="J46" i="2"/>
  <c r="K46" i="2" s="1"/>
  <c r="J12" i="2"/>
  <c r="K12" i="2" s="1"/>
  <c r="J35" i="2"/>
  <c r="K35" i="2" s="1"/>
  <c r="J27" i="2"/>
  <c r="K27" i="2" s="1"/>
  <c r="J6" i="2"/>
  <c r="K6" i="2" s="1"/>
  <c r="J16" i="2"/>
  <c r="K16" i="2" s="1"/>
  <c r="J8" i="2"/>
  <c r="K8" i="2" s="1"/>
  <c r="J36" i="2"/>
  <c r="K36" i="2" s="1"/>
  <c r="J34" i="2"/>
  <c r="K34" i="2" s="1"/>
  <c r="J29" i="2"/>
  <c r="K29" i="2" s="1"/>
  <c r="J28" i="2"/>
  <c r="K28" i="2" s="1"/>
  <c r="J26" i="2"/>
  <c r="K26" i="2" s="1"/>
  <c r="J25" i="2"/>
  <c r="K25" i="2" s="1"/>
  <c r="J18" i="2"/>
  <c r="K18" i="2" s="1"/>
  <c r="J17" i="2"/>
  <c r="K17" i="2" s="1"/>
  <c r="J15" i="2"/>
  <c r="K15" i="2" s="1"/>
  <c r="J13" i="2"/>
  <c r="K13" i="2" s="1"/>
  <c r="J9" i="2"/>
  <c r="K9" i="2" s="1"/>
  <c r="J14" i="2"/>
  <c r="K14" i="2" s="1"/>
  <c r="J7" i="2"/>
  <c r="K7" i="2" s="1"/>
  <c r="E19" i="1"/>
  <c r="J24" i="1"/>
  <c r="K24" i="1" s="1"/>
  <c r="I37" i="1"/>
  <c r="K6" i="1"/>
  <c r="J19" i="1" l="1"/>
  <c r="J25" i="6"/>
  <c r="K5" i="6"/>
  <c r="Y4" i="5"/>
  <c r="X47" i="5"/>
  <c r="J47" i="5"/>
  <c r="W5" i="4"/>
  <c r="V17" i="4"/>
  <c r="J17" i="4"/>
  <c r="W36" i="3"/>
  <c r="V45" i="3"/>
  <c r="K20" i="3"/>
  <c r="J40" i="3"/>
  <c r="J67" i="2"/>
  <c r="J37" i="2"/>
  <c r="J37" i="1"/>
  <c r="AK3" i="8" l="1"/>
  <c r="AB4" i="8" l="1"/>
  <c r="AJ4" i="8"/>
  <c r="AK4" i="8" s="1"/>
  <c r="AJ5" i="8" l="1"/>
  <c r="AB5" i="8"/>
  <c r="AK5" i="8" l="1"/>
  <c r="AB6" i="8"/>
  <c r="AJ6" i="8"/>
  <c r="AK6" i="8" l="1"/>
  <c r="AB7" i="8" l="1"/>
  <c r="AJ7" i="8"/>
  <c r="AK7" i="8" l="1"/>
  <c r="AB8" i="8" l="1"/>
  <c r="AG3" i="8" s="1"/>
  <c r="AH3" i="8" s="1"/>
  <c r="AJ8" i="8"/>
  <c r="AK8" i="8" s="1"/>
  <c r="AJ9" i="8" l="1"/>
  <c r="AK9" i="8" s="1"/>
  <c r="AB9" i="8"/>
  <c r="AB10" i="8" l="1"/>
  <c r="AJ10" i="8"/>
  <c r="AK10" i="8" l="1"/>
  <c r="AB11" i="8" l="1"/>
  <c r="AJ11" i="8"/>
  <c r="AK11" i="8" s="1"/>
  <c r="AJ12" i="8" l="1"/>
  <c r="AB12" i="8"/>
  <c r="AK12" i="8" l="1"/>
  <c r="AJ13" i="8" l="1"/>
  <c r="AK13" i="8" s="1"/>
  <c r="AB13" i="8"/>
  <c r="AG9" i="8" s="1"/>
  <c r="AH9" i="8" s="1"/>
  <c r="AB14" i="8" l="1"/>
  <c r="AK14" i="8"/>
  <c r="AB15" i="8" l="1"/>
  <c r="AK15" i="8" l="1"/>
  <c r="AB16" i="8" l="1"/>
  <c r="AK16" i="8" l="1"/>
  <c r="AB17" i="8" l="1"/>
  <c r="AG14" i="8" s="1"/>
  <c r="AH14" i="8" s="1"/>
  <c r="AK17" i="8" l="1"/>
  <c r="AB18" i="8" l="1"/>
  <c r="AJ18" i="8"/>
  <c r="AK18" i="8" s="1"/>
  <c r="AB19" i="8" l="1"/>
  <c r="AJ19" i="8"/>
  <c r="AK19" i="8" l="1"/>
  <c r="AB20" i="8" l="1"/>
  <c r="AJ20" i="8"/>
  <c r="AK20" i="8" s="1"/>
  <c r="AB21" i="8" l="1"/>
  <c r="AG18" i="8" s="1"/>
  <c r="AH18" i="8" s="1"/>
  <c r="AJ21" i="8"/>
  <c r="AK21" i="8" s="1"/>
  <c r="AJ22" i="8" l="1"/>
  <c r="AK22" i="8" s="1"/>
  <c r="AB22" i="8"/>
  <c r="AB23" i="8" l="1"/>
  <c r="AJ23" i="8"/>
  <c r="AK23" i="8" l="1"/>
  <c r="AJ24" i="8" l="1"/>
  <c r="AB24" i="8"/>
  <c r="AK24" i="8" l="1"/>
  <c r="AJ25" i="8" l="1"/>
  <c r="AK25" i="8" s="1"/>
  <c r="AB25" i="8"/>
  <c r="AG22" i="8" s="1"/>
  <c r="AH22" i="8" s="1"/>
  <c r="AJ26" i="8" l="1"/>
  <c r="AK26" i="8" s="1"/>
  <c r="AB26" i="8"/>
  <c r="AJ27" i="8" l="1"/>
  <c r="AK27" i="8" s="1"/>
  <c r="AB27" i="8"/>
  <c r="AB28" i="8" l="1"/>
  <c r="AJ28" i="8"/>
  <c r="AK28" i="8" l="1"/>
  <c r="AB29" i="8" l="1"/>
  <c r="AJ29" i="8"/>
  <c r="AK29" i="8" s="1"/>
  <c r="AB30" i="8" l="1"/>
  <c r="AG26" i="8" s="1"/>
  <c r="AH26" i="8" s="1"/>
  <c r="AJ30" i="8"/>
  <c r="AK30" i="8" s="1"/>
  <c r="AB31" i="8" l="1"/>
  <c r="AJ31" i="8"/>
  <c r="AK31" i="8" l="1"/>
  <c r="AJ32" i="8" l="1"/>
  <c r="AB32" i="8"/>
  <c r="AK32" i="8" l="1"/>
  <c r="AJ33" i="8" l="1"/>
  <c r="AK33" i="8" s="1"/>
  <c r="AB33" i="8"/>
  <c r="AB34" i="8" l="1"/>
  <c r="AJ34" i="8"/>
  <c r="AK34" i="8" s="1"/>
  <c r="AB35" i="8" l="1"/>
  <c r="AJ35" i="8"/>
  <c r="AJ36" i="8" s="1"/>
  <c r="AB36" i="8" l="1"/>
  <c r="AG31" i="8"/>
  <c r="AH31" i="8" s="1"/>
  <c r="AK35" i="8"/>
  <c r="AK36" i="8" s="1"/>
  <c r="AF36" i="8" l="1"/>
  <c r="AG36" i="8" l="1"/>
  <c r="AA3" i="12"/>
  <c r="AA30" i="12" s="1"/>
  <c r="AA31" i="12" l="1"/>
  <c r="AA32" i="12" s="1"/>
  <c r="C72" i="18"/>
  <c r="F3" i="18"/>
  <c r="F72" i="18" s="1"/>
  <c r="J3" i="18"/>
  <c r="J72" i="18" s="1"/>
  <c r="K3" i="18" l="1"/>
  <c r="K72" i="18" s="1"/>
  <c r="L3" i="18" l="1"/>
  <c r="C8" i="22"/>
  <c r="F6" i="22"/>
  <c r="F8" i="22" s="1"/>
  <c r="P6" i="22"/>
  <c r="J6" i="22"/>
  <c r="J8" i="22" s="1"/>
  <c r="K6" i="22" l="1"/>
  <c r="L6" i="22" s="1"/>
  <c r="S8" i="22"/>
  <c r="Z6" i="22"/>
  <c r="K8" i="22"/>
  <c r="V6" i="22"/>
  <c r="V8" i="22" s="1"/>
  <c r="K9" i="22" l="1"/>
  <c r="H9" i="22" s="1"/>
  <c r="AA6" i="22"/>
  <c r="Z8" i="22"/>
  <c r="AB6" i="22" l="1"/>
  <c r="AA8" i="22"/>
  <c r="AA9" i="22" l="1"/>
  <c r="X9" i="22" s="1"/>
  <c r="S34" i="26"/>
  <c r="Z15" i="26"/>
  <c r="Z34" i="26" s="1"/>
  <c r="J15" i="26"/>
  <c r="C34" i="26"/>
  <c r="V15" i="26"/>
  <c r="V34" i="26" s="1"/>
  <c r="P34" i="26" l="1"/>
  <c r="J34" i="26"/>
  <c r="F15" i="26"/>
  <c r="F34" i="26" s="1"/>
  <c r="AA15" i="26"/>
  <c r="AA34" i="26" s="1"/>
  <c r="AB15" i="26" l="1"/>
  <c r="AA35" i="26"/>
  <c r="X35" i="26" s="1"/>
  <c r="K15" i="26"/>
  <c r="L15" i="26" l="1"/>
  <c r="K34" i="26"/>
  <c r="K35" i="26" s="1"/>
  <c r="H35" i="26" s="1"/>
  <c r="K48" i="28"/>
  <c r="H48" i="28" s="1"/>
  <c r="T34" i="32"/>
  <c r="AB34" i="32"/>
  <c r="AG34" i="32" s="1"/>
  <c r="X34" i="32"/>
  <c r="Y34" i="32" l="1"/>
  <c r="Z34" i="32" s="1"/>
  <c r="AH34" i="32"/>
  <c r="AH51" i="32" s="1"/>
  <c r="AG51" i="32"/>
  <c r="T22" i="32"/>
  <c r="AB51" i="32"/>
  <c r="Q23" i="32"/>
  <c r="X20" i="32" s="1"/>
  <c r="T23" i="32"/>
  <c r="T51" i="32" s="1"/>
  <c r="Q51" i="32" l="1"/>
  <c r="Y20" i="32"/>
  <c r="X51" i="32"/>
  <c r="Z20" i="32" l="1"/>
  <c r="Y51" i="32"/>
  <c r="Y52" i="32" l="1"/>
  <c r="V52" i="32" s="1"/>
</calcChain>
</file>

<file path=xl/sharedStrings.xml><?xml version="1.0" encoding="utf-8"?>
<sst xmlns="http://schemas.openxmlformats.org/spreadsheetml/2006/main" count="4465" uniqueCount="413">
  <si>
    <t>Items</t>
  </si>
  <si>
    <t>FSK Mtr</t>
  </si>
  <si>
    <t>USD</t>
  </si>
  <si>
    <t>Rs</t>
  </si>
  <si>
    <t>Total</t>
  </si>
  <si>
    <t>Total Weight</t>
  </si>
  <si>
    <t>Total mtr</t>
  </si>
  <si>
    <t>By Sea Expense</t>
  </si>
  <si>
    <t>Freight</t>
  </si>
  <si>
    <t>Total Amount</t>
  </si>
  <si>
    <t>Cost/Mtr</t>
  </si>
  <si>
    <t>Black</t>
  </si>
  <si>
    <t>Blue</t>
  </si>
  <si>
    <t>Brown</t>
  </si>
  <si>
    <t xml:space="preserve">Gray </t>
  </si>
  <si>
    <t>Mahroon</t>
  </si>
  <si>
    <t>Glitter Silk</t>
  </si>
  <si>
    <t>Line Silk</t>
  </si>
  <si>
    <t>Cream</t>
  </si>
  <si>
    <t>Gray</t>
  </si>
  <si>
    <t>Faisal Quatity of Goods</t>
  </si>
  <si>
    <t>Wajih Alam Quantity of Goods</t>
  </si>
  <si>
    <t>Tpu Non Woven</t>
  </si>
  <si>
    <t>L.Gold</t>
  </si>
  <si>
    <t>Golden</t>
  </si>
  <si>
    <t>Grey</t>
  </si>
  <si>
    <t>Copper</t>
  </si>
  <si>
    <t>Silver</t>
  </si>
  <si>
    <t>Peach</t>
  </si>
  <si>
    <t>patent Shesha Golden</t>
  </si>
  <si>
    <t>Patent Shesha L.Golden</t>
  </si>
  <si>
    <t>Snake N/W L.Gold</t>
  </si>
  <si>
    <t>Snake N/W Gold</t>
  </si>
  <si>
    <t>Snake N/W Red</t>
  </si>
  <si>
    <t>Golden CD</t>
  </si>
  <si>
    <t xml:space="preserve">PVC TPU </t>
  </si>
  <si>
    <t xml:space="preserve">Golden </t>
  </si>
  <si>
    <t>Glitter</t>
  </si>
  <si>
    <t>Red</t>
  </si>
  <si>
    <t>Maroon</t>
  </si>
  <si>
    <t>S.Pink</t>
  </si>
  <si>
    <t>PP Shesha</t>
  </si>
  <si>
    <t>Line Cendrella</t>
  </si>
  <si>
    <t>Small Stone Gold</t>
  </si>
  <si>
    <t>Aziz Qadri Quatity of Goods</t>
  </si>
  <si>
    <t>Patent Shesha</t>
  </si>
  <si>
    <t>R61</t>
  </si>
  <si>
    <t>L.Cream</t>
  </si>
  <si>
    <t>Gold</t>
  </si>
  <si>
    <t>Mustard</t>
  </si>
  <si>
    <t>CD Metallic</t>
  </si>
  <si>
    <t>Glitter Peach</t>
  </si>
  <si>
    <t>Tigor</t>
  </si>
  <si>
    <t>Line Zari</t>
  </si>
  <si>
    <t>Tpu PVC</t>
  </si>
  <si>
    <t>Cambel Crush</t>
  </si>
  <si>
    <t>L.Golden</t>
  </si>
  <si>
    <t>Rainbow</t>
  </si>
  <si>
    <t>Transparent</t>
  </si>
  <si>
    <t>Small Stone</t>
  </si>
  <si>
    <t>Snake L.Gold</t>
  </si>
  <si>
    <t>Snake Gold</t>
  </si>
  <si>
    <t xml:space="preserve">Pu Soft </t>
  </si>
  <si>
    <t xml:space="preserve">Copper </t>
  </si>
  <si>
    <t>Aziz Qadri Quantity Of Goods</t>
  </si>
  <si>
    <t>Faisal Quantity Of Goods</t>
  </si>
  <si>
    <t>Date</t>
  </si>
  <si>
    <t>L.gold</t>
  </si>
  <si>
    <t>Patent 0.6</t>
  </si>
  <si>
    <t>Beigh</t>
  </si>
  <si>
    <t>White</t>
  </si>
  <si>
    <t>D.Gold</t>
  </si>
  <si>
    <t>Coffee</t>
  </si>
  <si>
    <t>Patent Non Woven</t>
  </si>
  <si>
    <t>L.Gray</t>
  </si>
  <si>
    <t xml:space="preserve">Silky </t>
  </si>
  <si>
    <t>Sofa Paper</t>
  </si>
  <si>
    <t>Tigor Non Woven</t>
  </si>
  <si>
    <t xml:space="preserve">Cheeko </t>
  </si>
  <si>
    <t>255 Paper</t>
  </si>
  <si>
    <t>AQS Mtr</t>
  </si>
  <si>
    <t>FSK Quantity Of Goods</t>
  </si>
  <si>
    <t xml:space="preserve">Total </t>
  </si>
  <si>
    <t>CROCO 0.8</t>
  </si>
  <si>
    <t>Col 1</t>
  </si>
  <si>
    <t>Col 13</t>
  </si>
  <si>
    <t>Col 14</t>
  </si>
  <si>
    <t>Col 16</t>
  </si>
  <si>
    <t>Col 3</t>
  </si>
  <si>
    <t>Block Cendrella</t>
  </si>
  <si>
    <t>Squa Cendrella</t>
  </si>
  <si>
    <t>71#</t>
  </si>
  <si>
    <t>192#</t>
  </si>
  <si>
    <t>CENDRELLA BOX</t>
  </si>
  <si>
    <t>L.GOLD</t>
  </si>
  <si>
    <t>PEACH</t>
  </si>
  <si>
    <t>SILVER</t>
  </si>
  <si>
    <t>GARY</t>
  </si>
  <si>
    <t>GOLD</t>
  </si>
  <si>
    <t>RED</t>
  </si>
  <si>
    <t>MUSTARD</t>
  </si>
  <si>
    <t>BLACK</t>
  </si>
  <si>
    <t>GRAY</t>
  </si>
  <si>
    <t>COPPER</t>
  </si>
  <si>
    <t>TPU N.W.</t>
  </si>
  <si>
    <t>SNAKE</t>
  </si>
  <si>
    <t>RECI</t>
  </si>
  <si>
    <t>Faisal Saleem Quantity Of Goods</t>
  </si>
  <si>
    <t>PP SHESHA</t>
  </si>
  <si>
    <t>PATENT NONWOVEN</t>
  </si>
  <si>
    <t>BROWN</t>
  </si>
  <si>
    <t>D.CREAM</t>
  </si>
  <si>
    <t>L.CREAM</t>
  </si>
  <si>
    <t>4806L</t>
  </si>
  <si>
    <t>WHITE</t>
  </si>
  <si>
    <t>PATENT SHESHA</t>
  </si>
  <si>
    <t>LGOLD</t>
  </si>
  <si>
    <t>STONE CINDURILLA</t>
    <phoneticPr fontId="0" type="noConversion"/>
  </si>
  <si>
    <t>L.GOLD</t>
    <phoneticPr fontId="0" type="noConversion"/>
  </si>
  <si>
    <t>GOLD</t>
    <phoneticPr fontId="0" type="noConversion"/>
  </si>
  <si>
    <t>PEACH</t>
    <phoneticPr fontId="0" type="noConversion"/>
  </si>
  <si>
    <t>SILVER</t>
    <phoneticPr fontId="0" type="noConversion"/>
  </si>
  <si>
    <t>GARY</t>
    <phoneticPr fontId="0" type="noConversion"/>
  </si>
  <si>
    <t>AQS QTY</t>
  </si>
  <si>
    <t>AQS Rolls</t>
  </si>
  <si>
    <t>Total Rolls</t>
  </si>
  <si>
    <t>FSK Rolls</t>
  </si>
  <si>
    <t>FSK Roll</t>
  </si>
  <si>
    <t>AQS Roll</t>
  </si>
  <si>
    <t>Fasial Saleem Quantity Of Goods</t>
  </si>
  <si>
    <t>FSK QTY</t>
  </si>
  <si>
    <t>Total Meter</t>
  </si>
  <si>
    <t>FSK Meter</t>
  </si>
  <si>
    <t>AQS Meter</t>
  </si>
  <si>
    <t>TPU NONWOVEN</t>
  </si>
  <si>
    <t>LINE CINDERELLA</t>
  </si>
  <si>
    <t>BOX CINDURILLA</t>
  </si>
  <si>
    <t>PP SUPER N.W</t>
  </si>
  <si>
    <t>PATENT SHESHA N.W</t>
  </si>
  <si>
    <t>JET BLACK</t>
  </si>
  <si>
    <t>Color</t>
  </si>
  <si>
    <t>Faisal Quantity</t>
  </si>
  <si>
    <t>Aziz Qadri Quantity</t>
  </si>
  <si>
    <t>TPU PVC</t>
  </si>
  <si>
    <t>COBRA</t>
  </si>
  <si>
    <t>92 SOFA</t>
  </si>
  <si>
    <t>PP SHESHA N.W</t>
  </si>
  <si>
    <t>STONE CINDURILLA</t>
  </si>
  <si>
    <t>CINDURILLA BOX</t>
  </si>
  <si>
    <t>TOTAL</t>
  </si>
  <si>
    <t>CREAM</t>
  </si>
  <si>
    <t>YELLOW</t>
  </si>
  <si>
    <t>L/GOLD</t>
  </si>
  <si>
    <t>Quantity Distribution</t>
  </si>
  <si>
    <t>Total QTY</t>
  </si>
  <si>
    <t>Fsk Qty</t>
  </si>
  <si>
    <t>1% Income Tax</t>
  </si>
  <si>
    <t>MALAI SOFA</t>
  </si>
  <si>
    <t>L.MUSTARD</t>
  </si>
  <si>
    <t>TAN BROWN</t>
  </si>
  <si>
    <t>D.MUSTARD</t>
  </si>
  <si>
    <t>GREY</t>
  </si>
  <si>
    <t>CHEKO</t>
  </si>
  <si>
    <t>BLACK</t>
    <phoneticPr fontId="11" type="noConversion"/>
  </si>
  <si>
    <t>MUSTARD</t>
    <phoneticPr fontId="11" type="noConversion"/>
  </si>
  <si>
    <t>WHITE</t>
    <phoneticPr fontId="11" type="noConversion"/>
  </si>
  <si>
    <t>L.CREAM</t>
    <phoneticPr fontId="11" type="noConversion"/>
  </si>
  <si>
    <t>D.MUSTARD</t>
    <phoneticPr fontId="11" type="noConversion"/>
  </si>
  <si>
    <t>CHIKO</t>
    <phoneticPr fontId="11" type="noConversion"/>
  </si>
  <si>
    <t>YELLOW</t>
    <phoneticPr fontId="11" type="noConversion"/>
  </si>
  <si>
    <t>PEACH</t>
    <phoneticPr fontId="11" type="noConversion"/>
  </si>
  <si>
    <t>L.GOLD</t>
    <phoneticPr fontId="11" type="noConversion"/>
  </si>
  <si>
    <t>SILVER</t>
    <phoneticPr fontId="11" type="noConversion"/>
  </si>
  <si>
    <t>PVC TRANSPARENT</t>
    <phoneticPr fontId="11" type="noConversion"/>
  </si>
  <si>
    <t>CRYSTAL</t>
    <phoneticPr fontId="11" type="noConversion"/>
  </si>
  <si>
    <t>PATENT N.W.</t>
    <phoneticPr fontId="11" type="noConversion"/>
  </si>
  <si>
    <t>BROWN</t>
    <phoneticPr fontId="11" type="noConversion"/>
  </si>
  <si>
    <t>GRAY</t>
    <phoneticPr fontId="11" type="noConversion"/>
  </si>
  <si>
    <t>MAHROON</t>
    <phoneticPr fontId="11" type="noConversion"/>
  </si>
  <si>
    <t>CD</t>
    <phoneticPr fontId="11" type="noConversion"/>
  </si>
  <si>
    <t>GOLD</t>
    <phoneticPr fontId="11" type="noConversion"/>
  </si>
  <si>
    <t>SILKY</t>
    <phoneticPr fontId="11" type="noConversion"/>
  </si>
  <si>
    <t>FOOTBALL PVC</t>
    <phoneticPr fontId="11" type="noConversion"/>
  </si>
  <si>
    <t>LINE CINDERELLA</t>
    <phoneticPr fontId="11" type="noConversion"/>
  </si>
  <si>
    <t>PATENT SHESHA</t>
    <phoneticPr fontId="11" type="noConversion"/>
  </si>
  <si>
    <t>COPPER</t>
    <phoneticPr fontId="11" type="noConversion"/>
  </si>
  <si>
    <t>CHIKO</t>
  </si>
  <si>
    <t>PVC TRANSPARENT</t>
  </si>
  <si>
    <t>CRYSTAL</t>
  </si>
  <si>
    <t>PATENT N.W.</t>
  </si>
  <si>
    <t>MAHROON</t>
  </si>
  <si>
    <t>CD</t>
  </si>
  <si>
    <t>SILKY</t>
  </si>
  <si>
    <t>FOOTBALL PVC</t>
  </si>
  <si>
    <t xml:space="preserve">Item </t>
  </si>
  <si>
    <t>Wajih Alam Quantity</t>
  </si>
  <si>
    <t xml:space="preserve">Faisal Saleem Quantity </t>
  </si>
  <si>
    <t xml:space="preserve">Grand Total </t>
  </si>
  <si>
    <t>RUCE</t>
    <phoneticPr fontId="9" type="noConversion"/>
  </si>
  <si>
    <t>GOLD</t>
    <phoneticPr fontId="9" type="noConversion"/>
  </si>
  <si>
    <t>SILVER</t>
    <phoneticPr fontId="9" type="noConversion"/>
  </si>
  <si>
    <t>WHITE</t>
    <phoneticPr fontId="9" type="noConversion"/>
  </si>
  <si>
    <t>PEACH</t>
    <phoneticPr fontId="9" type="noConversion"/>
  </si>
  <si>
    <t>GRAY</t>
    <phoneticPr fontId="9" type="noConversion"/>
  </si>
  <si>
    <t>MUSTARD</t>
    <phoneticPr fontId="9" type="noConversion"/>
  </si>
  <si>
    <t>BLACK</t>
    <phoneticPr fontId="9" type="noConversion"/>
  </si>
  <si>
    <t xml:space="preserve">MALAI </t>
    <phoneticPr fontId="9" type="noConversion"/>
  </si>
  <si>
    <t>GARY</t>
    <phoneticPr fontId="9" type="noConversion"/>
  </si>
  <si>
    <t>CREAM</t>
    <phoneticPr fontId="9" type="noConversion"/>
  </si>
  <si>
    <t>D.MUSTARD</t>
    <phoneticPr fontId="9" type="noConversion"/>
  </si>
  <si>
    <t>BROWN</t>
    <phoneticPr fontId="9" type="noConversion"/>
  </si>
  <si>
    <t>CHEKO</t>
    <phoneticPr fontId="9" type="noConversion"/>
  </si>
  <si>
    <t>L.MUSTARD</t>
    <phoneticPr fontId="9" type="noConversion"/>
  </si>
  <si>
    <t>L.GRAY</t>
    <phoneticPr fontId="9" type="noConversion"/>
  </si>
  <si>
    <t xml:space="preserve">Wajih Qadri Quantity </t>
  </si>
  <si>
    <t>Quantity Of Rolls</t>
  </si>
  <si>
    <t>Item</t>
  </si>
  <si>
    <t>ROLLS</t>
  </si>
  <si>
    <t>COLOR</t>
  </si>
  <si>
    <t>GOLD</t>
    <phoneticPr fontId="10" type="noConversion"/>
  </si>
  <si>
    <t>SILVER</t>
    <phoneticPr fontId="10" type="noConversion"/>
  </si>
  <si>
    <t>BLACK</t>
    <phoneticPr fontId="10" type="noConversion"/>
  </si>
  <si>
    <t>PEACH</t>
    <phoneticPr fontId="10" type="noConversion"/>
  </si>
  <si>
    <t>GRAY</t>
    <phoneticPr fontId="10" type="noConversion"/>
  </si>
  <si>
    <t>MUSTARD</t>
    <phoneticPr fontId="10" type="noConversion"/>
  </si>
  <si>
    <t>GARY</t>
    <phoneticPr fontId="10" type="noConversion"/>
  </si>
  <si>
    <t>CREAM</t>
    <phoneticPr fontId="10" type="noConversion"/>
  </si>
  <si>
    <t>D.MUSTARD</t>
    <phoneticPr fontId="10" type="noConversion"/>
  </si>
  <si>
    <t>BLACK</t>
    <phoneticPr fontId="10" type="noConversion"/>
  </si>
  <si>
    <t>BROWN</t>
    <phoneticPr fontId="10" type="noConversion"/>
  </si>
  <si>
    <t>CHEKO</t>
    <phoneticPr fontId="10" type="noConversion"/>
  </si>
  <si>
    <t>L.GRAY</t>
  </si>
  <si>
    <t>Income Tax</t>
  </si>
  <si>
    <t>Grand Total</t>
  </si>
  <si>
    <t>.</t>
  </si>
  <si>
    <t>TEGORE</t>
  </si>
  <si>
    <t>SIBI PAPER</t>
  </si>
  <si>
    <t>NEW PAPER</t>
  </si>
  <si>
    <t>SOFT PATENT</t>
  </si>
  <si>
    <t>TPU</t>
  </si>
  <si>
    <t>LR134</t>
  </si>
  <si>
    <t>L CREAM</t>
  </si>
  <si>
    <t>COFFEE</t>
  </si>
  <si>
    <t>CHEEKO</t>
  </si>
  <si>
    <t>BLUE</t>
  </si>
  <si>
    <t>BEIGE</t>
  </si>
  <si>
    <t>L. GOLD</t>
  </si>
  <si>
    <t xml:space="preserve">CRYSTAL </t>
  </si>
  <si>
    <t>FOOTBALL FILM</t>
  </si>
  <si>
    <t>OLD Weight</t>
  </si>
  <si>
    <t>AQS</t>
  </si>
  <si>
    <t>FSK</t>
  </si>
  <si>
    <t>COLORS</t>
  </si>
  <si>
    <t>AZIZ QADRI QUANTITY</t>
  </si>
  <si>
    <t>MALAI PAPER</t>
  </si>
  <si>
    <t>TRANSPARENT SHISHA</t>
  </si>
  <si>
    <t>SEBI NONWOVEN</t>
  </si>
  <si>
    <t>D BROWN</t>
  </si>
  <si>
    <t>T BROWN</t>
  </si>
  <si>
    <t>LINE CINDURILLA</t>
  </si>
  <si>
    <t>SULTAN</t>
  </si>
  <si>
    <t>GOLD/SULTAN</t>
  </si>
  <si>
    <t>SQUARE CINDURILLA</t>
  </si>
  <si>
    <t>BIG BOX CINDURILLA</t>
  </si>
  <si>
    <t xml:space="preserve">TPU </t>
  </si>
  <si>
    <t>Faisal Saleem QUANTITY</t>
  </si>
  <si>
    <t>Exact Weight</t>
  </si>
  <si>
    <t>MOONLIGHT SATIN</t>
  </si>
  <si>
    <t>RUCI</t>
  </si>
  <si>
    <t>BIG BOX CINDURELLA</t>
  </si>
  <si>
    <t>D GOLD</t>
  </si>
  <si>
    <t>MHAROON</t>
  </si>
  <si>
    <t>L GOLD</t>
  </si>
  <si>
    <t>Mix Color</t>
  </si>
  <si>
    <t>Aziz Qadri QUANTITY</t>
  </si>
  <si>
    <t>Total MTR/Color</t>
  </si>
  <si>
    <t xml:space="preserve">Income Tax </t>
  </si>
  <si>
    <t>TRANSPARENT FILM</t>
  </si>
  <si>
    <t>71# N.W.</t>
  </si>
  <si>
    <t>SATIN</t>
  </si>
  <si>
    <t>B PINK</t>
  </si>
  <si>
    <t>D MUSTARD</t>
  </si>
  <si>
    <t>L MUSTARD</t>
  </si>
  <si>
    <t>L GARY</t>
  </si>
  <si>
    <t>C GREEN</t>
  </si>
  <si>
    <t>CHERRY</t>
  </si>
  <si>
    <t>Rolls Distribution</t>
  </si>
  <si>
    <t>LINE SATIN</t>
  </si>
  <si>
    <t>TPU CROCODILE</t>
  </si>
  <si>
    <t>SUPER SHESHA TC</t>
  </si>
  <si>
    <t>MAHROOON</t>
  </si>
  <si>
    <t xml:space="preserve"> C.GREEN </t>
  </si>
  <si>
    <t>SIBI nonwoven</t>
  </si>
  <si>
    <t>CROCODILE TPU</t>
  </si>
  <si>
    <t>LR34</t>
  </si>
  <si>
    <t>525#</t>
  </si>
  <si>
    <t>PATENT</t>
  </si>
  <si>
    <t>TAGORE</t>
  </si>
  <si>
    <t>CAMEL</t>
  </si>
  <si>
    <t>CHIKU</t>
  </si>
  <si>
    <t>GREEN</t>
  </si>
  <si>
    <t>PINK</t>
  </si>
  <si>
    <t>PURPLE</t>
  </si>
  <si>
    <t>GOLD METALLIC</t>
  </si>
  <si>
    <t>PEACH METALLIC</t>
  </si>
  <si>
    <t>SILVER METALLIC</t>
  </si>
  <si>
    <t>GARY METALLIC</t>
  </si>
  <si>
    <t>MINT</t>
  </si>
  <si>
    <t>l.GOLD</t>
  </si>
  <si>
    <t>L.FEROZI</t>
  </si>
  <si>
    <t>D.GREY</t>
  </si>
  <si>
    <t>CEEKO</t>
  </si>
  <si>
    <t>Faisal</t>
  </si>
  <si>
    <t>Wajih</t>
  </si>
  <si>
    <t>Difference</t>
  </si>
  <si>
    <t>s</t>
  </si>
  <si>
    <t>Fsk Rolls</t>
  </si>
  <si>
    <t>Aqs Rolls</t>
  </si>
  <si>
    <t>FROZI</t>
  </si>
  <si>
    <t>CHERI+MAROON</t>
  </si>
  <si>
    <t>Wajih Qadri</t>
  </si>
  <si>
    <t>AQS rolls</t>
  </si>
  <si>
    <t>L GRAY</t>
  </si>
  <si>
    <t>Rolls</t>
  </si>
  <si>
    <t>FSk</t>
  </si>
  <si>
    <t>Total  Rolls</t>
  </si>
  <si>
    <t>FSk Rolls</t>
  </si>
  <si>
    <t>MAROON</t>
  </si>
  <si>
    <t>D.GRAY</t>
  </si>
  <si>
    <t>D GRAY</t>
  </si>
  <si>
    <t>METALLIC PEACH</t>
  </si>
  <si>
    <t>METALLIC GRAY</t>
  </si>
  <si>
    <t>Packing</t>
  </si>
  <si>
    <t>Total Mtr</t>
  </si>
  <si>
    <t>Fsk Mtr</t>
  </si>
  <si>
    <t>FSK rolls</t>
  </si>
  <si>
    <t>Faisal Saleem</t>
  </si>
  <si>
    <t>Remaining Rolls</t>
  </si>
  <si>
    <t>QTY</t>
  </si>
  <si>
    <t>PVC TPU N.W.</t>
  </si>
  <si>
    <t>D.GOLD</t>
  </si>
  <si>
    <t>D.PURPLE 7#</t>
  </si>
  <si>
    <t xml:space="preserve">NEW BOX CD </t>
  </si>
  <si>
    <t>L  MUSTARD</t>
  </si>
  <si>
    <t>L FROZI</t>
  </si>
  <si>
    <t>D  MUSTARD</t>
  </si>
  <si>
    <t>B.PINK</t>
  </si>
  <si>
    <t>Rolls  Distribution</t>
  </si>
  <si>
    <t>TRANSPARENT PVC FILM</t>
  </si>
  <si>
    <t>71 glitter nonmoven</t>
  </si>
  <si>
    <t>Aziz Qadri</t>
  </si>
  <si>
    <t>PLAIN SATIN</t>
  </si>
  <si>
    <t>DIAMOND ROPE 4 LINE</t>
  </si>
  <si>
    <t>LC  stone back faun</t>
  </si>
  <si>
    <t>White   back white  stone</t>
  </si>
  <si>
    <t>L.Peach  back peach stone</t>
  </si>
  <si>
    <t>White back/AB stone</t>
  </si>
  <si>
    <t>Black  back/AB stone</t>
  </si>
  <si>
    <t>Faun back /AB stone</t>
  </si>
  <si>
    <t>NEW CREAM</t>
  </si>
  <si>
    <t xml:space="preserve">Aqs Rolls </t>
  </si>
  <si>
    <t>LINE  CINDERELLA</t>
  </si>
  <si>
    <t>TINY  CINDERELLA</t>
  </si>
  <si>
    <t>CORN CINDURILLA</t>
  </si>
  <si>
    <t xml:space="preserve">CROCODILE TPU </t>
  </si>
  <si>
    <t>TRANSPARENT SHESHA</t>
  </si>
  <si>
    <t>GOLDEN</t>
  </si>
  <si>
    <t>White back ab stone</t>
  </si>
  <si>
    <t>Faun back Lc stone</t>
  </si>
  <si>
    <t>Black back ab stone</t>
  </si>
  <si>
    <t>L.Peach back peach stone</t>
  </si>
  <si>
    <t>White back white stone</t>
  </si>
  <si>
    <t>Gray back gray stone</t>
  </si>
  <si>
    <t>Peach back ab stone</t>
  </si>
  <si>
    <t>Invoice: 24001</t>
  </si>
  <si>
    <t>(Bond)</t>
  </si>
  <si>
    <t>DAZZLE</t>
  </si>
  <si>
    <t>METALLIC l.GOLD</t>
  </si>
  <si>
    <t>METALLIC GARY</t>
  </si>
  <si>
    <t>White back AB stone</t>
  </si>
  <si>
    <t>Foun back LC stone</t>
  </si>
  <si>
    <t>Black back AB stone</t>
  </si>
  <si>
    <t>L.Peach back AB stone</t>
  </si>
  <si>
    <t>Lr 134</t>
  </si>
  <si>
    <t xml:space="preserve">Rolls </t>
  </si>
  <si>
    <t>24001-2</t>
  </si>
  <si>
    <t>LR134 SOFA</t>
  </si>
  <si>
    <t>192 SOFA</t>
  </si>
  <si>
    <t>71 GLITTER N.W.</t>
  </si>
  <si>
    <t>SUPER  SHESHA N.W.</t>
  </si>
  <si>
    <t xml:space="preserve">METALLIC L GOLD </t>
  </si>
  <si>
    <t xml:space="preserve">METALLIC SILVER </t>
  </si>
  <si>
    <t xml:space="preserve">CAMEL
</t>
  </si>
  <si>
    <t>Black back AB  stone</t>
  </si>
  <si>
    <t>Black  back white stone</t>
  </si>
  <si>
    <t>L.Peach back AB  stone</t>
  </si>
  <si>
    <t>24004-1</t>
  </si>
  <si>
    <t xml:space="preserve">METALLIC PEACH </t>
  </si>
  <si>
    <t xml:space="preserve">METALLIC GRAY </t>
  </si>
  <si>
    <t>RS</t>
  </si>
  <si>
    <t>aqs Rolls</t>
  </si>
  <si>
    <t>aqs rolls</t>
  </si>
  <si>
    <t>FSK ROLLS</t>
  </si>
  <si>
    <t>Rolls distribution</t>
  </si>
  <si>
    <t>FAISAL SALEEM</t>
  </si>
  <si>
    <t xml:space="preserve">Mtrs </t>
  </si>
  <si>
    <t>SHIPMENT UPDATES</t>
  </si>
  <si>
    <t>PARTITIONS</t>
  </si>
  <si>
    <t>AQS ROLLS</t>
  </si>
  <si>
    <t>FSK MTRS</t>
  </si>
  <si>
    <t>AQS MTRS</t>
  </si>
  <si>
    <t>TOTAL QTY</t>
  </si>
  <si>
    <t>Cost 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</si>
</sst>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_ "/>
    <numFmt numFmtId="166" formatCode="0_ 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i/>
      <sz val="22"/>
      <color theme="1"/>
      <name val="Cambria"/>
      <family val="1"/>
      <scheme val="major"/>
    </font>
    <font>
      <b/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name val="Times New Roman"/>
      <charset val="134"/>
    </font>
    <font>
      <b/>
      <sz val="20"/>
      <color theme="1"/>
      <name val="Calibri"/>
      <family val="2"/>
      <scheme val="minor"/>
    </font>
    <font>
      <b/>
      <sz val="11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" fontId="0" fillId="0" borderId="1" xfId="0" applyNumberFormat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Fill="1" applyBorder="1"/>
    <xf numFmtId="0" fontId="0" fillId="0" borderId="1" xfId="0" applyFill="1" applyBorder="1"/>
    <xf numFmtId="1" fontId="1" fillId="0" borderId="1" xfId="0" applyNumberFormat="1" applyFont="1" applyFill="1" applyBorder="1"/>
    <xf numFmtId="0" fontId="1" fillId="0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0" xfId="0" applyFill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1" fontId="0" fillId="3" borderId="1" xfId="0" applyNumberFormat="1" applyFill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Fill="1" applyBorder="1"/>
    <xf numFmtId="0" fontId="0" fillId="0" borderId="5" xfId="0" applyBorder="1"/>
    <xf numFmtId="1" fontId="1" fillId="0" borderId="1" xfId="0" applyNumberFormat="1" applyFont="1" applyBorder="1"/>
    <xf numFmtId="0" fontId="1" fillId="0" borderId="4" xfId="0" applyFont="1" applyFill="1" applyBorder="1"/>
    <xf numFmtId="0" fontId="0" fillId="0" borderId="1" xfId="0" applyBorder="1" applyAlignment="1">
      <alignment wrapText="1"/>
    </xf>
    <xf numFmtId="0" fontId="3" fillId="0" borderId="0" xfId="0" applyFont="1" applyAlignment="1"/>
    <xf numFmtId="0" fontId="3" fillId="0" borderId="3" xfId="0" applyFont="1" applyBorder="1" applyAlignment="1"/>
    <xf numFmtId="14" fontId="4" fillId="0" borderId="3" xfId="0" applyNumberFormat="1" applyFont="1" applyBorder="1" applyAlignment="1"/>
    <xf numFmtId="14" fontId="0" fillId="0" borderId="3" xfId="0" applyNumberFormat="1" applyFont="1" applyBorder="1" applyAlignment="1"/>
    <xf numFmtId="0" fontId="0" fillId="0" borderId="6" xfId="0" applyFill="1" applyBorder="1"/>
    <xf numFmtId="0" fontId="0" fillId="0" borderId="7" xfId="0" applyBorder="1"/>
    <xf numFmtId="1" fontId="1" fillId="2" borderId="7" xfId="0" applyNumberFormat="1" applyFont="1" applyFill="1" applyBorder="1"/>
    <xf numFmtId="1" fontId="0" fillId="0" borderId="7" xfId="0" applyNumberFormat="1" applyBorder="1"/>
    <xf numFmtId="1" fontId="0" fillId="3" borderId="7" xfId="0" applyNumberFormat="1" applyFill="1" applyBorder="1"/>
    <xf numFmtId="1" fontId="0" fillId="0" borderId="0" xfId="0" applyNumberFormat="1"/>
    <xf numFmtId="0" fontId="3" fillId="0" borderId="1" xfId="0" applyFont="1" applyBorder="1" applyAlignment="1"/>
    <xf numFmtId="14" fontId="0" fillId="0" borderId="1" xfId="0" applyNumberFormat="1" applyFont="1" applyBorder="1" applyAlignment="1"/>
    <xf numFmtId="1" fontId="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0" fillId="0" borderId="1" xfId="0" applyBorder="1" applyAlignment="1"/>
    <xf numFmtId="1" fontId="1" fillId="2" borderId="1" xfId="0" applyNumberFormat="1" applyFont="1" applyFill="1" applyBorder="1" applyAlignment="1"/>
    <xf numFmtId="1" fontId="0" fillId="3" borderId="1" xfId="0" applyNumberFormat="1" applyFill="1" applyBorder="1" applyAlignment="1"/>
    <xf numFmtId="0" fontId="0" fillId="0" borderId="0" xfId="0" applyBorder="1"/>
    <xf numFmtId="0" fontId="2" fillId="0" borderId="1" xfId="0" applyFont="1" applyFill="1" applyBorder="1" applyAlignment="1">
      <alignment wrapText="1"/>
    </xf>
    <xf numFmtId="1" fontId="8" fillId="4" borderId="1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0" fontId="1" fillId="0" borderId="0" xfId="0" applyFont="1"/>
    <xf numFmtId="164" fontId="1" fillId="0" borderId="1" xfId="0" applyNumberFormat="1" applyFont="1" applyBorder="1"/>
    <xf numFmtId="1" fontId="0" fillId="0" borderId="1" xfId="0" applyNumberFormat="1" applyFont="1" applyBorder="1"/>
    <xf numFmtId="164" fontId="0" fillId="0" borderId="1" xfId="0" applyNumberFormat="1" applyFont="1" applyBorder="1"/>
    <xf numFmtId="0" fontId="1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1" fillId="3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8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Font="1" applyFill="1" applyBorder="1"/>
    <xf numFmtId="0" fontId="8" fillId="4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1" fillId="0" borderId="0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1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5" fillId="4" borderId="10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16" fillId="0" borderId="1" xfId="0" applyFont="1" applyBorder="1"/>
    <xf numFmtId="0" fontId="15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0" fillId="4" borderId="15" xfId="0" applyNumberFormat="1" applyFont="1" applyFill="1" applyBorder="1" applyAlignment="1">
      <alignment horizontal="center" vertical="center"/>
    </xf>
    <xf numFmtId="0" fontId="8" fillId="4" borderId="14" xfId="0" applyNumberFormat="1" applyFont="1" applyFill="1" applyBorder="1" applyAlignment="1">
      <alignment horizontal="center" vertical="center"/>
    </xf>
    <xf numFmtId="0" fontId="21" fillId="4" borderId="15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1" fillId="0" borderId="7" xfId="0" applyNumberFormat="1" applyFont="1" applyBorder="1"/>
    <xf numFmtId="0" fontId="15" fillId="4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5" fillId="4" borderId="1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9" xfId="0" applyNumberFormat="1" applyFont="1" applyBorder="1"/>
    <xf numFmtId="0" fontId="2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2" fontId="7" fillId="4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14" fontId="3" fillId="0" borderId="4" xfId="0" applyNumberFormat="1" applyFont="1" applyBorder="1" applyAlignment="1"/>
    <xf numFmtId="0" fontId="3" fillId="0" borderId="5" xfId="0" applyFont="1" applyBorder="1" applyAlignment="1"/>
    <xf numFmtId="0" fontId="7" fillId="0" borderId="1" xfId="0" applyNumberFormat="1" applyFont="1" applyFill="1" applyBorder="1" applyAlignment="1">
      <alignment horizontal="center" vertical="center"/>
    </xf>
    <xf numFmtId="166" fontId="24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66" fontId="1" fillId="0" borderId="1" xfId="0" applyNumberFormat="1" applyFont="1" applyBorder="1"/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166" fontId="31" fillId="0" borderId="1" xfId="0" applyNumberFormat="1" applyFont="1" applyFill="1" applyBorder="1" applyAlignment="1">
      <alignment horizontal="center" vertical="center"/>
    </xf>
    <xf numFmtId="2" fontId="29" fillId="0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0" fillId="0" borderId="9" xfId="0" applyBorder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Border="1"/>
    <xf numFmtId="0" fontId="1" fillId="0" borderId="9" xfId="0" applyFont="1" applyBorder="1"/>
    <xf numFmtId="166" fontId="20" fillId="0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vertical="center" wrapText="1"/>
    </xf>
    <xf numFmtId="166" fontId="0" fillId="0" borderId="0" xfId="0" applyNumberFormat="1"/>
    <xf numFmtId="0" fontId="2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66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1" fillId="0" borderId="5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11" fillId="0" borderId="1" xfId="0" applyFont="1" applyBorder="1" applyAlignment="1">
      <alignment horizontal="center"/>
    </xf>
    <xf numFmtId="0" fontId="8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8" fillId="4" borderId="7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13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7" xfId="0" applyNumberFormat="1" applyFont="1" applyFill="1" applyBorder="1" applyAlignment="1">
      <alignment horizontal="center" vertical="center"/>
    </xf>
    <xf numFmtId="0" fontId="15" fillId="4" borderId="9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5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8" fillId="4" borderId="16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20" fillId="0" borderId="9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0" fontId="20" fillId="4" borderId="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0" fillId="4" borderId="7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 vertical="center" wrapText="1"/>
    </xf>
    <xf numFmtId="0" fontId="20" fillId="4" borderId="9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24" fillId="0" borderId="2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9" fillId="0" borderId="7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9" fillId="0" borderId="9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7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29" fillId="0" borderId="7" xfId="0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opLeftCell="A19" workbookViewId="0">
      <selection activeCell="A22" sqref="A22:K37"/>
    </sheetView>
  </sheetViews>
  <sheetFormatPr defaultRowHeight="15"/>
  <cols>
    <col min="7" max="7" width="10.140625" bestFit="1" customWidth="1"/>
    <col min="9" max="9" width="11.5703125" bestFit="1" customWidth="1"/>
    <col min="11" max="11" width="12" bestFit="1" customWidth="1"/>
  </cols>
  <sheetData>
    <row r="3" spans="1:11" ht="18.75">
      <c r="A3" s="516" t="s">
        <v>20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</row>
    <row r="4" spans="1:11" ht="31.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5" t="s">
        <v>6</v>
      </c>
      <c r="H4" s="6" t="s">
        <v>7</v>
      </c>
      <c r="I4" s="5" t="s">
        <v>8</v>
      </c>
      <c r="J4" s="6" t="s">
        <v>9</v>
      </c>
      <c r="K4" s="6" t="s">
        <v>10</v>
      </c>
    </row>
    <row r="5" spans="1:11">
      <c r="A5" s="2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11</v>
      </c>
      <c r="B6" s="1">
        <v>1120</v>
      </c>
      <c r="C6" s="1">
        <v>2.0299999999999998</v>
      </c>
      <c r="D6" s="1">
        <v>156</v>
      </c>
      <c r="E6" s="7">
        <f>B6*C6*D6</f>
        <v>354681.59999999998</v>
      </c>
      <c r="F6" s="1">
        <v>749</v>
      </c>
      <c r="G6" s="1">
        <v>2020</v>
      </c>
      <c r="H6" s="1">
        <v>617</v>
      </c>
      <c r="I6" s="7">
        <f>F6/G6*B6*H6</f>
        <v>256232.15841584158</v>
      </c>
      <c r="J6" s="7">
        <f>I6+E6</f>
        <v>610913.7584158415</v>
      </c>
      <c r="K6" s="7">
        <f>J6/B6</f>
        <v>545.45871287128705</v>
      </c>
    </row>
    <row r="7" spans="1:11">
      <c r="A7" s="1" t="s">
        <v>12</v>
      </c>
      <c r="B7" s="1">
        <v>820</v>
      </c>
      <c r="C7" s="1">
        <v>2.0299999999999998</v>
      </c>
      <c r="D7" s="1">
        <v>156</v>
      </c>
      <c r="E7" s="7">
        <f t="shared" ref="E7:E10" si="0">B7*C7*D7</f>
        <v>259677.59999999998</v>
      </c>
      <c r="F7" s="1">
        <v>541</v>
      </c>
      <c r="G7" s="1">
        <v>1420</v>
      </c>
      <c r="H7" s="1">
        <v>617</v>
      </c>
      <c r="I7" s="7">
        <f t="shared" ref="I7:I10" si="1">F7/G7*B7*H7</f>
        <v>192756.01408450704</v>
      </c>
      <c r="J7" s="7">
        <f t="shared" ref="J7:J10" si="2">I7+E7</f>
        <v>452433.61408450699</v>
      </c>
      <c r="K7" s="7">
        <f t="shared" ref="K7:K10" si="3">J7/B7</f>
        <v>551.74830985915492</v>
      </c>
    </row>
    <row r="8" spans="1:11">
      <c r="A8" s="1" t="s">
        <v>13</v>
      </c>
      <c r="B8" s="1">
        <v>714</v>
      </c>
      <c r="C8" s="1">
        <v>2.0299999999999998</v>
      </c>
      <c r="D8" s="1">
        <v>156</v>
      </c>
      <c r="E8" s="7">
        <f t="shared" si="0"/>
        <v>226109.52</v>
      </c>
      <c r="F8" s="1">
        <v>452</v>
      </c>
      <c r="G8" s="1">
        <v>1224</v>
      </c>
      <c r="H8" s="1">
        <v>617</v>
      </c>
      <c r="I8" s="7">
        <f t="shared" si="1"/>
        <v>162682.33333333334</v>
      </c>
      <c r="J8" s="7">
        <f t="shared" si="2"/>
        <v>388791.85333333333</v>
      </c>
      <c r="K8" s="7">
        <f t="shared" si="3"/>
        <v>544.52640522875822</v>
      </c>
    </row>
    <row r="9" spans="1:11">
      <c r="A9" s="1" t="s">
        <v>14</v>
      </c>
      <c r="B9" s="1">
        <v>560</v>
      </c>
      <c r="C9" s="1">
        <v>2.0299999999999998</v>
      </c>
      <c r="D9" s="1">
        <v>156</v>
      </c>
      <c r="E9" s="7">
        <f t="shared" si="0"/>
        <v>177340.79999999999</v>
      </c>
      <c r="F9" s="1">
        <v>414</v>
      </c>
      <c r="G9" s="1">
        <v>1160</v>
      </c>
      <c r="H9" s="1">
        <v>617</v>
      </c>
      <c r="I9" s="7">
        <f t="shared" si="1"/>
        <v>123314.89655172413</v>
      </c>
      <c r="J9" s="7">
        <f t="shared" si="2"/>
        <v>300655.6965517241</v>
      </c>
      <c r="K9" s="7">
        <f t="shared" si="3"/>
        <v>536.88517241379304</v>
      </c>
    </row>
    <row r="10" spans="1:11">
      <c r="A10" s="1" t="s">
        <v>15</v>
      </c>
      <c r="B10" s="1">
        <v>487</v>
      </c>
      <c r="C10" s="1">
        <v>2.0299999999999998</v>
      </c>
      <c r="D10" s="1">
        <v>156</v>
      </c>
      <c r="E10" s="7">
        <f t="shared" si="0"/>
        <v>154223.15999999997</v>
      </c>
      <c r="F10" s="1">
        <v>436</v>
      </c>
      <c r="G10" s="1">
        <v>1087</v>
      </c>
      <c r="H10" s="1">
        <v>617</v>
      </c>
      <c r="I10" s="7">
        <f t="shared" si="1"/>
        <v>120523.31554737809</v>
      </c>
      <c r="J10" s="7">
        <f t="shared" si="2"/>
        <v>274746.47554737807</v>
      </c>
      <c r="K10" s="7">
        <f t="shared" si="3"/>
        <v>564.16114075436974</v>
      </c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2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11</v>
      </c>
      <c r="B13" s="1">
        <v>360</v>
      </c>
      <c r="C13" s="1">
        <v>2.0299999999999998</v>
      </c>
      <c r="D13" s="1">
        <v>156</v>
      </c>
      <c r="E13" s="7">
        <f t="shared" ref="E13:E18" si="4">B13*C13*D13</f>
        <v>114004.79999999999</v>
      </c>
      <c r="F13" s="1">
        <v>502</v>
      </c>
      <c r="G13" s="1">
        <v>1157</v>
      </c>
      <c r="H13" s="1">
        <v>617</v>
      </c>
      <c r="I13" s="7">
        <f t="shared" ref="I13:I18" si="5">F13/G13*B13*H13</f>
        <v>96373.586862575627</v>
      </c>
      <c r="J13" s="7">
        <f t="shared" ref="J13:J18" si="6">I13+E13</f>
        <v>210378.3868625756</v>
      </c>
      <c r="K13" s="7">
        <f t="shared" ref="K13:K18" si="7">J13/B13</f>
        <v>584.38440795159886</v>
      </c>
    </row>
    <row r="14" spans="1:11">
      <c r="A14" s="1" t="s">
        <v>12</v>
      </c>
      <c r="B14" s="1">
        <v>360</v>
      </c>
      <c r="C14" s="1">
        <v>2.0299999999999998</v>
      </c>
      <c r="D14" s="1">
        <v>156</v>
      </c>
      <c r="E14" s="7">
        <f t="shared" si="4"/>
        <v>114004.79999999999</v>
      </c>
      <c r="F14" s="1">
        <v>370</v>
      </c>
      <c r="G14" s="1">
        <v>873</v>
      </c>
      <c r="H14" s="1">
        <v>617</v>
      </c>
      <c r="I14" s="7">
        <f t="shared" si="5"/>
        <v>94140.206185567004</v>
      </c>
      <c r="J14" s="7">
        <f t="shared" si="6"/>
        <v>208145.00618556701</v>
      </c>
      <c r="K14" s="7">
        <f t="shared" si="7"/>
        <v>578.18057273768613</v>
      </c>
    </row>
    <row r="15" spans="1:11">
      <c r="A15" s="1" t="s">
        <v>13</v>
      </c>
      <c r="B15" s="1">
        <v>360</v>
      </c>
      <c r="C15" s="1">
        <v>2.0299999999999998</v>
      </c>
      <c r="D15" s="1">
        <v>156</v>
      </c>
      <c r="E15" s="7">
        <f t="shared" si="4"/>
        <v>114004.79999999999</v>
      </c>
      <c r="F15" s="1">
        <v>327</v>
      </c>
      <c r="G15" s="1">
        <v>790</v>
      </c>
      <c r="H15" s="1">
        <v>617</v>
      </c>
      <c r="I15" s="7">
        <f t="shared" si="5"/>
        <v>91940.810126582277</v>
      </c>
      <c r="J15" s="7">
        <f t="shared" si="6"/>
        <v>205945.61012658227</v>
      </c>
      <c r="K15" s="7">
        <f t="shared" si="7"/>
        <v>572.07113924050634</v>
      </c>
    </row>
    <row r="16" spans="1:11">
      <c r="A16" s="1" t="s">
        <v>18</v>
      </c>
      <c r="B16" s="1">
        <v>270</v>
      </c>
      <c r="C16" s="1">
        <v>2.0299999999999998</v>
      </c>
      <c r="D16" s="1">
        <v>156</v>
      </c>
      <c r="E16" s="7">
        <f t="shared" si="4"/>
        <v>85503.599999999991</v>
      </c>
      <c r="F16" s="1">
        <v>322</v>
      </c>
      <c r="G16" s="1">
        <v>774</v>
      </c>
      <c r="H16" s="1">
        <v>617</v>
      </c>
      <c r="I16" s="7">
        <f t="shared" si="5"/>
        <v>69304.883720930229</v>
      </c>
      <c r="J16" s="7">
        <f t="shared" si="6"/>
        <v>154808.48372093023</v>
      </c>
      <c r="K16" s="7">
        <f t="shared" si="7"/>
        <v>573.36475452196385</v>
      </c>
    </row>
    <row r="17" spans="1:11">
      <c r="A17" s="1" t="s">
        <v>19</v>
      </c>
      <c r="B17" s="1">
        <v>390</v>
      </c>
      <c r="C17" s="1">
        <v>2.0299999999999998</v>
      </c>
      <c r="D17" s="1">
        <v>156</v>
      </c>
      <c r="E17" s="7">
        <f t="shared" si="4"/>
        <v>123505.19999999998</v>
      </c>
      <c r="F17" s="1">
        <v>363</v>
      </c>
      <c r="G17" s="1">
        <v>837</v>
      </c>
      <c r="H17" s="1">
        <v>617</v>
      </c>
      <c r="I17" s="7">
        <f t="shared" si="5"/>
        <v>104359.24731182794</v>
      </c>
      <c r="J17" s="7">
        <f t="shared" si="6"/>
        <v>227864.44731182791</v>
      </c>
      <c r="K17" s="7">
        <f t="shared" si="7"/>
        <v>584.26781362007159</v>
      </c>
    </row>
    <row r="18" spans="1:11">
      <c r="A18" s="1" t="s">
        <v>15</v>
      </c>
      <c r="B18" s="1">
        <v>660</v>
      </c>
      <c r="C18" s="1">
        <v>2.0299999999999998</v>
      </c>
      <c r="D18" s="1">
        <v>156</v>
      </c>
      <c r="E18" s="7">
        <f t="shared" si="4"/>
        <v>209008.8</v>
      </c>
      <c r="F18" s="1">
        <v>594</v>
      </c>
      <c r="G18" s="1">
        <v>1425</v>
      </c>
      <c r="H18" s="1">
        <v>617</v>
      </c>
      <c r="I18" s="7">
        <f t="shared" si="5"/>
        <v>169746.44210526318</v>
      </c>
      <c r="J18" s="7">
        <f t="shared" si="6"/>
        <v>378755.24210526317</v>
      </c>
      <c r="K18" s="7">
        <f t="shared" si="7"/>
        <v>573.87157894736845</v>
      </c>
    </row>
    <row r="19" spans="1:11" ht="30">
      <c r="A19" s="3" t="s">
        <v>9</v>
      </c>
      <c r="B19" s="1">
        <f>SUM(B6:B18)</f>
        <v>6101</v>
      </c>
      <c r="C19" s="1"/>
      <c r="D19" s="1"/>
      <c r="E19" s="1">
        <f>SUM(E6:E18)</f>
        <v>1932064.6800000002</v>
      </c>
      <c r="F19" s="1"/>
      <c r="G19" s="1">
        <f>SUM(G6:G18)</f>
        <v>12767</v>
      </c>
      <c r="H19" s="1"/>
      <c r="I19" s="8">
        <f>SUM(I6:I18)</f>
        <v>1481373.8942455305</v>
      </c>
      <c r="J19" s="1">
        <f>SUM(J6:J18)</f>
        <v>3413438.5742455302</v>
      </c>
      <c r="K19" s="1"/>
    </row>
    <row r="20" spans="1:11">
      <c r="C20" s="4"/>
    </row>
    <row r="21" spans="1:11" ht="18.75">
      <c r="A21" s="516" t="s">
        <v>21</v>
      </c>
      <c r="B21" s="516"/>
      <c r="C21" s="516"/>
      <c r="D21" s="516"/>
      <c r="E21" s="516"/>
      <c r="F21" s="516"/>
      <c r="G21" s="516"/>
      <c r="H21" s="516"/>
      <c r="I21" s="516"/>
      <c r="J21" s="516"/>
      <c r="K21" s="516"/>
    </row>
    <row r="22" spans="1:11" ht="31.5">
      <c r="A22" s="5" t="s">
        <v>0</v>
      </c>
      <c r="B22" s="5" t="s">
        <v>1</v>
      </c>
      <c r="C22" s="5" t="s">
        <v>2</v>
      </c>
      <c r="D22" s="5" t="s">
        <v>3</v>
      </c>
      <c r="E22" s="5" t="s">
        <v>4</v>
      </c>
      <c r="F22" s="6" t="s">
        <v>5</v>
      </c>
      <c r="G22" s="5" t="s">
        <v>6</v>
      </c>
      <c r="H22" s="6" t="s">
        <v>7</v>
      </c>
      <c r="I22" s="5" t="s">
        <v>8</v>
      </c>
      <c r="J22" s="6" t="s">
        <v>9</v>
      </c>
      <c r="K22" s="6" t="s">
        <v>10</v>
      </c>
    </row>
    <row r="23" spans="1:11">
      <c r="A23" s="2" t="s">
        <v>17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11</v>
      </c>
      <c r="B24" s="1">
        <v>900</v>
      </c>
      <c r="C24" s="1">
        <v>2.0299999999999998</v>
      </c>
      <c r="D24" s="1">
        <v>156</v>
      </c>
      <c r="E24" s="1">
        <f>B24*C24*D24</f>
        <v>285011.99999999994</v>
      </c>
      <c r="F24" s="1">
        <v>749</v>
      </c>
      <c r="G24" s="1">
        <v>2020</v>
      </c>
      <c r="H24" s="1">
        <v>617</v>
      </c>
      <c r="I24" s="7">
        <f>F24/G24*B24*H24</f>
        <v>205900.84158415842</v>
      </c>
      <c r="J24" s="7">
        <f>I24+E24</f>
        <v>490912.84158415836</v>
      </c>
      <c r="K24" s="7">
        <f>J24/B24</f>
        <v>545.45871287128705</v>
      </c>
    </row>
    <row r="25" spans="1:11">
      <c r="A25" s="1" t="s">
        <v>12</v>
      </c>
      <c r="B25" s="1">
        <v>600</v>
      </c>
      <c r="C25" s="1">
        <v>2.0299999999999998</v>
      </c>
      <c r="D25" s="1">
        <v>156</v>
      </c>
      <c r="E25" s="1">
        <f t="shared" ref="E25:E28" si="8">B25*C25*D25</f>
        <v>190007.99999999997</v>
      </c>
      <c r="F25" s="1">
        <v>541</v>
      </c>
      <c r="G25" s="1">
        <v>1420</v>
      </c>
      <c r="H25" s="1">
        <v>617</v>
      </c>
      <c r="I25" s="7">
        <f t="shared" ref="I25:I36" si="9">F25/G25*B25*H25</f>
        <v>141040.98591549296</v>
      </c>
      <c r="J25" s="7">
        <f t="shared" ref="J25:J36" si="10">I25+E25</f>
        <v>331048.98591549293</v>
      </c>
      <c r="K25" s="7">
        <f t="shared" ref="K25:K36" si="11">J25/B25</f>
        <v>551.74830985915492</v>
      </c>
    </row>
    <row r="26" spans="1:11">
      <c r="A26" s="1" t="s">
        <v>13</v>
      </c>
      <c r="B26" s="1">
        <v>510</v>
      </c>
      <c r="C26" s="1">
        <v>2.0299999999999998</v>
      </c>
      <c r="D26" s="1">
        <v>156</v>
      </c>
      <c r="E26" s="1">
        <f t="shared" si="8"/>
        <v>161506.79999999999</v>
      </c>
      <c r="F26" s="1">
        <v>452</v>
      </c>
      <c r="G26" s="1">
        <v>1224</v>
      </c>
      <c r="H26" s="1">
        <v>617</v>
      </c>
      <c r="I26" s="7">
        <f t="shared" si="9"/>
        <v>116201.66666666667</v>
      </c>
      <c r="J26" s="7">
        <f t="shared" si="10"/>
        <v>277708.46666666667</v>
      </c>
      <c r="K26" s="7">
        <f t="shared" si="11"/>
        <v>544.52640522875822</v>
      </c>
    </row>
    <row r="27" spans="1:11">
      <c r="A27" s="1" t="s">
        <v>14</v>
      </c>
      <c r="B27" s="1">
        <v>600</v>
      </c>
      <c r="C27" s="1">
        <v>2.0299999999999998</v>
      </c>
      <c r="D27" s="1">
        <v>156</v>
      </c>
      <c r="E27" s="1">
        <f t="shared" si="8"/>
        <v>190007.99999999997</v>
      </c>
      <c r="F27" s="1">
        <v>414</v>
      </c>
      <c r="G27" s="1">
        <v>1160</v>
      </c>
      <c r="H27" s="1">
        <v>617</v>
      </c>
      <c r="I27" s="7">
        <f t="shared" si="9"/>
        <v>132123.10344827586</v>
      </c>
      <c r="J27" s="7">
        <f t="shared" si="10"/>
        <v>322131.10344827583</v>
      </c>
      <c r="K27" s="7">
        <f t="shared" si="11"/>
        <v>536.88517241379304</v>
      </c>
    </row>
    <row r="28" spans="1:11">
      <c r="A28" s="1" t="s">
        <v>15</v>
      </c>
      <c r="B28" s="1">
        <v>600</v>
      </c>
      <c r="C28" s="1">
        <v>2.0299999999999998</v>
      </c>
      <c r="D28" s="1">
        <v>156</v>
      </c>
      <c r="E28" s="1">
        <f t="shared" si="8"/>
        <v>190007.99999999997</v>
      </c>
      <c r="F28" s="1">
        <v>436</v>
      </c>
      <c r="G28" s="1">
        <v>1087</v>
      </c>
      <c r="H28" s="1">
        <v>617</v>
      </c>
      <c r="I28" s="7">
        <f t="shared" si="9"/>
        <v>148488.68445262191</v>
      </c>
      <c r="J28" s="7">
        <f t="shared" si="10"/>
        <v>338496.68445262185</v>
      </c>
      <c r="K28" s="7">
        <f t="shared" si="11"/>
        <v>564.16114075436974</v>
      </c>
    </row>
    <row r="29" spans="1:11">
      <c r="A29" s="1"/>
      <c r="B29" s="1"/>
      <c r="C29" s="1"/>
      <c r="D29" s="1"/>
      <c r="E29" s="1"/>
      <c r="F29" s="1"/>
      <c r="G29" s="1"/>
      <c r="H29" s="1"/>
      <c r="I29" s="7"/>
      <c r="J29" s="7"/>
      <c r="K29" s="7"/>
    </row>
    <row r="30" spans="1:11">
      <c r="A30" s="2" t="s">
        <v>16</v>
      </c>
      <c r="B30" s="1"/>
      <c r="C30" s="1"/>
      <c r="D30" s="1"/>
      <c r="E30" s="1"/>
      <c r="F30" s="1"/>
      <c r="G30" s="1"/>
      <c r="H30" s="1"/>
      <c r="I30" s="7"/>
      <c r="J30" s="7"/>
      <c r="K30" s="7"/>
    </row>
    <row r="31" spans="1:11">
      <c r="A31" s="1" t="s">
        <v>11</v>
      </c>
      <c r="B31" s="1">
        <v>797</v>
      </c>
      <c r="C31" s="1">
        <v>2.0299999999999998</v>
      </c>
      <c r="D31" s="1">
        <v>156</v>
      </c>
      <c r="E31" s="1">
        <f t="shared" ref="E31:E36" si="12">B31*C31*D31</f>
        <v>252393.95999999996</v>
      </c>
      <c r="F31" s="1">
        <v>502</v>
      </c>
      <c r="G31" s="1">
        <v>1157</v>
      </c>
      <c r="H31" s="1">
        <v>617</v>
      </c>
      <c r="I31" s="7">
        <f t="shared" si="9"/>
        <v>213360.41313742439</v>
      </c>
      <c r="J31" s="7">
        <f t="shared" si="10"/>
        <v>465754.37313742435</v>
      </c>
      <c r="K31" s="7">
        <f t="shared" si="11"/>
        <v>584.38440795159897</v>
      </c>
    </row>
    <row r="32" spans="1:11">
      <c r="A32" s="1" t="s">
        <v>12</v>
      </c>
      <c r="B32" s="1">
        <v>513</v>
      </c>
      <c r="C32" s="1">
        <v>2.0299999999999998</v>
      </c>
      <c r="D32" s="1">
        <v>156</v>
      </c>
      <c r="E32" s="1">
        <f t="shared" si="12"/>
        <v>162456.83999999997</v>
      </c>
      <c r="F32" s="1">
        <v>370</v>
      </c>
      <c r="G32" s="1">
        <v>873</v>
      </c>
      <c r="H32" s="1">
        <v>617</v>
      </c>
      <c r="I32" s="7">
        <f t="shared" si="9"/>
        <v>134149.79381443298</v>
      </c>
      <c r="J32" s="7">
        <f t="shared" si="10"/>
        <v>296606.63381443295</v>
      </c>
      <c r="K32" s="7">
        <f t="shared" si="11"/>
        <v>578.18057273768602</v>
      </c>
    </row>
    <row r="33" spans="1:11">
      <c r="A33" s="1" t="s">
        <v>13</v>
      </c>
      <c r="B33" s="1">
        <v>430</v>
      </c>
      <c r="C33" s="1">
        <v>2.0299999999999998</v>
      </c>
      <c r="D33" s="1">
        <v>156</v>
      </c>
      <c r="E33" s="1">
        <f t="shared" si="12"/>
        <v>136172.39999999997</v>
      </c>
      <c r="F33" s="1">
        <v>327</v>
      </c>
      <c r="G33" s="1">
        <v>790</v>
      </c>
      <c r="H33" s="1">
        <v>617</v>
      </c>
      <c r="I33" s="7">
        <f t="shared" si="9"/>
        <v>109818.18987341772</v>
      </c>
      <c r="J33" s="7">
        <f t="shared" si="10"/>
        <v>245990.58987341769</v>
      </c>
      <c r="K33" s="7">
        <f t="shared" si="11"/>
        <v>572.07113924050623</v>
      </c>
    </row>
    <row r="34" spans="1:11">
      <c r="A34" s="1" t="s">
        <v>18</v>
      </c>
      <c r="B34" s="1">
        <v>504</v>
      </c>
      <c r="C34" s="1">
        <v>2.0299999999999998</v>
      </c>
      <c r="D34" s="1">
        <v>156</v>
      </c>
      <c r="E34" s="1">
        <f t="shared" si="12"/>
        <v>159606.71999999997</v>
      </c>
      <c r="F34" s="1">
        <v>322</v>
      </c>
      <c r="G34" s="1">
        <v>774</v>
      </c>
      <c r="H34" s="1">
        <v>617</v>
      </c>
      <c r="I34" s="7">
        <f t="shared" si="9"/>
        <v>129369.11627906976</v>
      </c>
      <c r="J34" s="7">
        <f t="shared" si="10"/>
        <v>288975.83627906971</v>
      </c>
      <c r="K34" s="7">
        <f t="shared" si="11"/>
        <v>573.36475452196373</v>
      </c>
    </row>
    <row r="35" spans="1:11">
      <c r="A35" s="1" t="s">
        <v>19</v>
      </c>
      <c r="B35" s="1">
        <v>447</v>
      </c>
      <c r="C35" s="1">
        <v>2.0299999999999998</v>
      </c>
      <c r="D35" s="1">
        <v>156</v>
      </c>
      <c r="E35" s="1">
        <f t="shared" si="12"/>
        <v>141555.96</v>
      </c>
      <c r="F35" s="1">
        <v>363</v>
      </c>
      <c r="G35" s="1">
        <v>837</v>
      </c>
      <c r="H35" s="1">
        <v>617</v>
      </c>
      <c r="I35" s="7">
        <f t="shared" si="9"/>
        <v>119611.75268817204</v>
      </c>
      <c r="J35" s="7">
        <f t="shared" si="10"/>
        <v>261167.71268817203</v>
      </c>
      <c r="K35" s="7">
        <f t="shared" si="11"/>
        <v>584.26781362007171</v>
      </c>
    </row>
    <row r="36" spans="1:11">
      <c r="A36" s="1" t="s">
        <v>15</v>
      </c>
      <c r="B36" s="1">
        <v>765</v>
      </c>
      <c r="C36" s="1">
        <v>2.0299999999999998</v>
      </c>
      <c r="D36" s="1">
        <v>156</v>
      </c>
      <c r="E36" s="1">
        <f t="shared" si="12"/>
        <v>242260.19999999998</v>
      </c>
      <c r="F36" s="1">
        <v>594</v>
      </c>
      <c r="G36" s="1">
        <v>1425</v>
      </c>
      <c r="H36" s="1">
        <v>617</v>
      </c>
      <c r="I36" s="7">
        <f t="shared" si="9"/>
        <v>196751.55789473682</v>
      </c>
      <c r="J36" s="7">
        <f t="shared" si="10"/>
        <v>439011.75789473683</v>
      </c>
      <c r="K36" s="7">
        <f t="shared" si="11"/>
        <v>573.87157894736845</v>
      </c>
    </row>
    <row r="37" spans="1:11" ht="30">
      <c r="A37" s="3" t="s">
        <v>9</v>
      </c>
      <c r="B37" s="1">
        <f>SUM(B24:B36)</f>
        <v>6666</v>
      </c>
      <c r="C37" s="1"/>
      <c r="D37" s="1"/>
      <c r="E37" s="1">
        <f>SUM(E24:E36)</f>
        <v>2110988.8799999994</v>
      </c>
      <c r="F37" s="1"/>
      <c r="G37" s="1">
        <f>SUM(G24:G36)</f>
        <v>12767</v>
      </c>
      <c r="H37" s="1"/>
      <c r="I37" s="3">
        <f>SUM(I24:I36)</f>
        <v>1646816.1057544695</v>
      </c>
      <c r="J37" s="1">
        <f>SUM(J24:J36)</f>
        <v>3757804.9857544694</v>
      </c>
      <c r="K37" s="1"/>
    </row>
  </sheetData>
  <mergeCells count="2">
    <mergeCell ref="A3:K3"/>
    <mergeCell ref="A21:K21"/>
  </mergeCells>
  <pageMargins left="0.7" right="0.7" top="0.75" bottom="0.75" header="0.3" footer="0.3"/>
  <pageSetup scale="1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2"/>
  <sheetViews>
    <sheetView topLeftCell="A17" zoomScaleNormal="100" workbookViewId="0">
      <selection activeCell="K39" sqref="K39"/>
    </sheetView>
  </sheetViews>
  <sheetFormatPr defaultRowHeight="15"/>
  <cols>
    <col min="1" max="1" width="11" customWidth="1"/>
    <col min="10" max="10" width="11.7109375" bestFit="1" customWidth="1"/>
  </cols>
  <sheetData>
    <row r="1" spans="1:34" ht="28.5">
      <c r="A1" s="569" t="s">
        <v>142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T1" s="569" t="s">
        <v>65</v>
      </c>
      <c r="U1" s="569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  <c r="AG1" s="569"/>
      <c r="AH1" s="569"/>
    </row>
    <row r="2" spans="1:34" ht="32.25">
      <c r="A2" s="66" t="s">
        <v>0</v>
      </c>
      <c r="B2" s="66" t="s">
        <v>140</v>
      </c>
      <c r="C2" s="47" t="s">
        <v>123</v>
      </c>
      <c r="D2" s="47" t="s">
        <v>2</v>
      </c>
      <c r="E2" s="47" t="s">
        <v>3</v>
      </c>
      <c r="F2" s="48" t="s">
        <v>4</v>
      </c>
      <c r="G2" s="6" t="s">
        <v>5</v>
      </c>
      <c r="H2" s="6" t="s">
        <v>6</v>
      </c>
      <c r="I2" s="6" t="s">
        <v>7</v>
      </c>
      <c r="J2" s="47" t="s">
        <v>8</v>
      </c>
      <c r="K2" s="18" t="s">
        <v>9</v>
      </c>
      <c r="L2" s="6" t="s">
        <v>10</v>
      </c>
      <c r="M2" s="53" t="s">
        <v>125</v>
      </c>
      <c r="N2" s="2" t="s">
        <v>124</v>
      </c>
      <c r="O2" s="2" t="s">
        <v>126</v>
      </c>
      <c r="T2" s="77" t="s">
        <v>0</v>
      </c>
      <c r="U2" s="77" t="s">
        <v>140</v>
      </c>
      <c r="V2" s="47" t="s">
        <v>155</v>
      </c>
      <c r="W2" s="47" t="s">
        <v>2</v>
      </c>
      <c r="X2" s="47" t="s">
        <v>3</v>
      </c>
      <c r="Y2" s="48" t="s">
        <v>4</v>
      </c>
      <c r="Z2" s="6" t="s">
        <v>5</v>
      </c>
      <c r="AA2" s="6" t="s">
        <v>6</v>
      </c>
      <c r="AB2" s="6" t="s">
        <v>7</v>
      </c>
      <c r="AC2" s="47" t="s">
        <v>8</v>
      </c>
      <c r="AD2" s="18" t="s">
        <v>9</v>
      </c>
      <c r="AE2" s="6" t="s">
        <v>10</v>
      </c>
      <c r="AF2" s="53" t="s">
        <v>125</v>
      </c>
      <c r="AG2" s="2" t="s">
        <v>124</v>
      </c>
      <c r="AH2" s="2" t="s">
        <v>126</v>
      </c>
    </row>
    <row r="3" spans="1:34">
      <c r="A3" s="570" t="s">
        <v>143</v>
      </c>
      <c r="B3" s="69" t="s">
        <v>94</v>
      </c>
      <c r="C3" s="69">
        <v>750</v>
      </c>
      <c r="D3" s="69">
        <v>1.95</v>
      </c>
      <c r="E3" s="1">
        <v>190</v>
      </c>
      <c r="F3" s="50">
        <f>C3*D3*E3</f>
        <v>277875</v>
      </c>
      <c r="G3" s="552">
        <v>2080</v>
      </c>
      <c r="H3" s="575">
        <v>3755.5</v>
      </c>
      <c r="I3" s="527">
        <v>470</v>
      </c>
      <c r="J3" s="525">
        <f>G3/H3*SUM(C3:C6)*I3</f>
        <v>437323.39235787507</v>
      </c>
      <c r="K3" s="542">
        <f>J3+SUM(F3:F6)</f>
        <v>1068142.3923578751</v>
      </c>
      <c r="L3" s="525">
        <f>K3/SUM(C3:C6)</f>
        <v>635.79904307016375</v>
      </c>
      <c r="M3" s="64">
        <v>57</v>
      </c>
      <c r="N3" s="7">
        <v>25</v>
      </c>
      <c r="O3" s="7">
        <f>M3-N3</f>
        <v>32</v>
      </c>
      <c r="P3">
        <f>H3*40%</f>
        <v>1502.2</v>
      </c>
      <c r="S3">
        <f>AA3-C3</f>
        <v>3005.5</v>
      </c>
      <c r="T3" s="570" t="s">
        <v>143</v>
      </c>
      <c r="U3" s="78" t="s">
        <v>94</v>
      </c>
      <c r="V3" s="78">
        <v>945</v>
      </c>
      <c r="W3" s="78">
        <v>1.95</v>
      </c>
      <c r="X3" s="1">
        <v>190</v>
      </c>
      <c r="Y3" s="50">
        <f>V3*W3*X3</f>
        <v>350122.5</v>
      </c>
      <c r="Z3" s="552">
        <v>2080</v>
      </c>
      <c r="AA3" s="575">
        <v>3755.5</v>
      </c>
      <c r="AB3" s="527">
        <v>470</v>
      </c>
      <c r="AC3" s="525">
        <f>Z3/AA3*SUM(V3:V6)*AB3</f>
        <v>540276.60764212487</v>
      </c>
      <c r="AD3" s="531">
        <f>AC3+SUM(Y3:Y6)</f>
        <v>1319184.457642125</v>
      </c>
      <c r="AE3" s="525">
        <f>AD3/SUM(V3:V6)</f>
        <v>635.59838961316552</v>
      </c>
      <c r="AF3" s="64">
        <v>57</v>
      </c>
      <c r="AG3" s="7">
        <v>25</v>
      </c>
      <c r="AH3" s="7">
        <f>AF3-AG3</f>
        <v>32</v>
      </c>
    </row>
    <row r="4" spans="1:34">
      <c r="A4" s="570"/>
      <c r="B4" s="69" t="s">
        <v>95</v>
      </c>
      <c r="C4" s="69">
        <v>300</v>
      </c>
      <c r="D4" s="69">
        <v>2.02</v>
      </c>
      <c r="E4" s="1">
        <v>190</v>
      </c>
      <c r="F4" s="50">
        <f t="shared" ref="F4:F38" si="0">C4*D4*E4</f>
        <v>115140</v>
      </c>
      <c r="G4" s="553"/>
      <c r="H4" s="576"/>
      <c r="I4" s="571"/>
      <c r="J4" s="533"/>
      <c r="K4" s="543"/>
      <c r="L4" s="533"/>
      <c r="M4" s="64">
        <v>22</v>
      </c>
      <c r="N4" s="7">
        <v>10</v>
      </c>
      <c r="O4" s="7">
        <f t="shared" ref="O4:O37" si="1">M4-N4</f>
        <v>12</v>
      </c>
      <c r="P4">
        <f t="shared" ref="P4:P38" si="2">H4*40%</f>
        <v>0</v>
      </c>
      <c r="S4">
        <f t="shared" ref="S4:S38" si="3">AA4-C4</f>
        <v>-300</v>
      </c>
      <c r="T4" s="570"/>
      <c r="U4" s="78" t="s">
        <v>95</v>
      </c>
      <c r="V4" s="78">
        <v>359.5</v>
      </c>
      <c r="W4" s="78">
        <v>2.02</v>
      </c>
      <c r="X4" s="1">
        <v>190</v>
      </c>
      <c r="Y4" s="50">
        <f t="shared" ref="Y4:Y10" si="4">V4*W4*X4</f>
        <v>137976.1</v>
      </c>
      <c r="Z4" s="553"/>
      <c r="AA4" s="576"/>
      <c r="AB4" s="571"/>
      <c r="AC4" s="533"/>
      <c r="AD4" s="536"/>
      <c r="AE4" s="533"/>
      <c r="AF4" s="64">
        <v>22</v>
      </c>
      <c r="AG4" s="7">
        <v>10</v>
      </c>
      <c r="AH4" s="7">
        <f t="shared" ref="AH4:AH37" si="5">AF4-AG4</f>
        <v>12</v>
      </c>
    </row>
    <row r="5" spans="1:34">
      <c r="A5" s="570"/>
      <c r="B5" s="69" t="s">
        <v>96</v>
      </c>
      <c r="C5" s="69">
        <v>300</v>
      </c>
      <c r="D5" s="69">
        <v>1.95</v>
      </c>
      <c r="E5" s="1">
        <v>190</v>
      </c>
      <c r="F5" s="50">
        <f t="shared" si="0"/>
        <v>111150</v>
      </c>
      <c r="G5" s="553"/>
      <c r="H5" s="576"/>
      <c r="I5" s="571"/>
      <c r="J5" s="533"/>
      <c r="K5" s="543"/>
      <c r="L5" s="533"/>
      <c r="M5" s="64">
        <v>23</v>
      </c>
      <c r="N5" s="7">
        <v>10</v>
      </c>
      <c r="O5" s="7">
        <f t="shared" si="1"/>
        <v>13</v>
      </c>
      <c r="P5">
        <f t="shared" si="2"/>
        <v>0</v>
      </c>
      <c r="S5">
        <f t="shared" si="3"/>
        <v>-300</v>
      </c>
      <c r="T5" s="570"/>
      <c r="U5" s="78" t="s">
        <v>96</v>
      </c>
      <c r="V5" s="78">
        <v>383.5</v>
      </c>
      <c r="W5" s="78">
        <v>1.95</v>
      </c>
      <c r="X5" s="1">
        <v>190</v>
      </c>
      <c r="Y5" s="50">
        <f t="shared" si="4"/>
        <v>142086.75</v>
      </c>
      <c r="Z5" s="553"/>
      <c r="AA5" s="576"/>
      <c r="AB5" s="571"/>
      <c r="AC5" s="533"/>
      <c r="AD5" s="536"/>
      <c r="AE5" s="533"/>
      <c r="AF5" s="64">
        <v>23</v>
      </c>
      <c r="AG5" s="7">
        <v>10</v>
      </c>
      <c r="AH5" s="7">
        <f t="shared" si="5"/>
        <v>13</v>
      </c>
    </row>
    <row r="6" spans="1:34">
      <c r="A6" s="570"/>
      <c r="B6" s="69" t="s">
        <v>102</v>
      </c>
      <c r="C6" s="69">
        <v>330</v>
      </c>
      <c r="D6" s="69">
        <v>2.02</v>
      </c>
      <c r="E6" s="1">
        <v>190</v>
      </c>
      <c r="F6" s="50">
        <f t="shared" si="0"/>
        <v>126654</v>
      </c>
      <c r="G6" s="554"/>
      <c r="H6" s="577"/>
      <c r="I6" s="572"/>
      <c r="J6" s="526"/>
      <c r="K6" s="544"/>
      <c r="L6" s="526"/>
      <c r="M6" s="64">
        <v>24</v>
      </c>
      <c r="N6" s="7">
        <v>11</v>
      </c>
      <c r="O6" s="7">
        <f t="shared" si="1"/>
        <v>13</v>
      </c>
      <c r="P6">
        <f t="shared" si="2"/>
        <v>0</v>
      </c>
      <c r="S6">
        <f t="shared" si="3"/>
        <v>-330</v>
      </c>
      <c r="T6" s="570"/>
      <c r="U6" s="78" t="s">
        <v>102</v>
      </c>
      <c r="V6" s="78">
        <v>387.5</v>
      </c>
      <c r="W6" s="78">
        <v>2.02</v>
      </c>
      <c r="X6" s="1">
        <v>190</v>
      </c>
      <c r="Y6" s="50">
        <f t="shared" si="4"/>
        <v>148722.5</v>
      </c>
      <c r="Z6" s="554"/>
      <c r="AA6" s="577"/>
      <c r="AB6" s="572"/>
      <c r="AC6" s="526"/>
      <c r="AD6" s="532"/>
      <c r="AE6" s="526"/>
      <c r="AF6" s="64">
        <v>24</v>
      </c>
      <c r="AG6" s="7">
        <v>11</v>
      </c>
      <c r="AH6" s="7">
        <f t="shared" si="5"/>
        <v>13</v>
      </c>
    </row>
    <row r="7" spans="1:34">
      <c r="A7" s="570" t="s">
        <v>144</v>
      </c>
      <c r="B7" s="69" t="s">
        <v>101</v>
      </c>
      <c r="C7" s="44">
        <v>240</v>
      </c>
      <c r="D7" s="69">
        <v>2.95</v>
      </c>
      <c r="E7" s="1">
        <v>190</v>
      </c>
      <c r="F7" s="50">
        <f t="shared" si="0"/>
        <v>134520</v>
      </c>
      <c r="G7" s="552">
        <v>1200</v>
      </c>
      <c r="H7" s="529">
        <v>2012</v>
      </c>
      <c r="I7" s="527">
        <v>470</v>
      </c>
      <c r="J7" s="525">
        <f>G7/H7*SUM(C7:C12)*I7</f>
        <v>320123.26043737575</v>
      </c>
      <c r="K7" s="542">
        <f>J7+SUM(F7:F12)</f>
        <v>1011628.2604373757</v>
      </c>
      <c r="L7" s="525">
        <f>K7/SUM(C7:C12)</f>
        <v>885.83910721311361</v>
      </c>
      <c r="M7" s="64">
        <v>15</v>
      </c>
      <c r="N7" s="7">
        <v>8</v>
      </c>
      <c r="O7" s="7">
        <f t="shared" si="1"/>
        <v>7</v>
      </c>
      <c r="P7">
        <f t="shared" si="2"/>
        <v>804.80000000000007</v>
      </c>
      <c r="S7">
        <f t="shared" si="3"/>
        <v>1772</v>
      </c>
      <c r="T7" s="570" t="s">
        <v>144</v>
      </c>
      <c r="U7" s="78" t="s">
        <v>101</v>
      </c>
      <c r="V7" s="44">
        <v>203</v>
      </c>
      <c r="W7" s="78">
        <v>2.95</v>
      </c>
      <c r="X7" s="1">
        <v>190</v>
      </c>
      <c r="Y7" s="50">
        <f t="shared" si="4"/>
        <v>113781.5</v>
      </c>
      <c r="Z7" s="552">
        <v>1200</v>
      </c>
      <c r="AA7" s="529">
        <v>2012</v>
      </c>
      <c r="AB7" s="527">
        <v>470</v>
      </c>
      <c r="AC7" s="525">
        <f>Z7/AA7*SUM(V7:V12)*AB7</f>
        <v>243876.73956262425</v>
      </c>
      <c r="AD7" s="531">
        <f>AC7+SUM(Y7:Y12)</f>
        <v>769530.73956262425</v>
      </c>
      <c r="AE7" s="525">
        <f>AD7/SUM(V7:V12)</f>
        <v>884.51809145129221</v>
      </c>
      <c r="AF7" s="64">
        <v>15</v>
      </c>
      <c r="AG7" s="7">
        <v>8</v>
      </c>
      <c r="AH7" s="7">
        <f t="shared" si="5"/>
        <v>7</v>
      </c>
    </row>
    <row r="8" spans="1:34">
      <c r="A8" s="570"/>
      <c r="B8" s="69" t="s">
        <v>95</v>
      </c>
      <c r="C8" s="44">
        <v>180</v>
      </c>
      <c r="D8" s="69">
        <v>3.25</v>
      </c>
      <c r="E8" s="1">
        <v>190</v>
      </c>
      <c r="F8" s="50">
        <f t="shared" si="0"/>
        <v>111150</v>
      </c>
      <c r="G8" s="553"/>
      <c r="H8" s="535"/>
      <c r="I8" s="534"/>
      <c r="J8" s="533"/>
      <c r="K8" s="543"/>
      <c r="L8" s="533"/>
      <c r="M8" s="64">
        <v>10</v>
      </c>
      <c r="N8" s="7">
        <v>6</v>
      </c>
      <c r="O8" s="7">
        <f t="shared" si="1"/>
        <v>4</v>
      </c>
      <c r="P8">
        <f t="shared" si="2"/>
        <v>0</v>
      </c>
      <c r="S8">
        <f t="shared" si="3"/>
        <v>-180</v>
      </c>
      <c r="T8" s="570"/>
      <c r="U8" s="78" t="s">
        <v>95</v>
      </c>
      <c r="V8" s="44">
        <v>127</v>
      </c>
      <c r="W8" s="78">
        <v>3.25</v>
      </c>
      <c r="X8" s="1">
        <v>190</v>
      </c>
      <c r="Y8" s="50">
        <f t="shared" si="4"/>
        <v>78422.5</v>
      </c>
      <c r="Z8" s="553"/>
      <c r="AA8" s="535"/>
      <c r="AB8" s="534"/>
      <c r="AC8" s="533"/>
      <c r="AD8" s="536"/>
      <c r="AE8" s="533"/>
      <c r="AF8" s="64">
        <v>10</v>
      </c>
      <c r="AG8" s="7">
        <v>6</v>
      </c>
      <c r="AH8" s="7">
        <f t="shared" si="5"/>
        <v>4</v>
      </c>
    </row>
    <row r="9" spans="1:34">
      <c r="A9" s="570"/>
      <c r="B9" s="69" t="s">
        <v>97</v>
      </c>
      <c r="C9" s="44">
        <v>180</v>
      </c>
      <c r="D9" s="69">
        <v>3.25</v>
      </c>
      <c r="E9" s="1">
        <v>190</v>
      </c>
      <c r="F9" s="50">
        <f t="shared" si="0"/>
        <v>111150</v>
      </c>
      <c r="G9" s="553"/>
      <c r="H9" s="535"/>
      <c r="I9" s="534"/>
      <c r="J9" s="533"/>
      <c r="K9" s="543"/>
      <c r="L9" s="533"/>
      <c r="M9" s="64">
        <v>10</v>
      </c>
      <c r="N9" s="7">
        <v>6</v>
      </c>
      <c r="O9" s="7">
        <f t="shared" si="1"/>
        <v>4</v>
      </c>
      <c r="P9">
        <f t="shared" si="2"/>
        <v>0</v>
      </c>
      <c r="S9">
        <f t="shared" si="3"/>
        <v>-180</v>
      </c>
      <c r="T9" s="570"/>
      <c r="U9" s="78" t="s">
        <v>97</v>
      </c>
      <c r="V9" s="44">
        <v>138</v>
      </c>
      <c r="W9" s="78">
        <v>3.25</v>
      </c>
      <c r="X9" s="1">
        <v>190</v>
      </c>
      <c r="Y9" s="50">
        <f t="shared" si="4"/>
        <v>85215</v>
      </c>
      <c r="Z9" s="553"/>
      <c r="AA9" s="535"/>
      <c r="AB9" s="534"/>
      <c r="AC9" s="533"/>
      <c r="AD9" s="536"/>
      <c r="AE9" s="533"/>
      <c r="AF9" s="64">
        <v>10</v>
      </c>
      <c r="AG9" s="7">
        <v>6</v>
      </c>
      <c r="AH9" s="7">
        <f t="shared" si="5"/>
        <v>4</v>
      </c>
    </row>
    <row r="10" spans="1:34">
      <c r="A10" s="570"/>
      <c r="B10" s="69" t="s">
        <v>150</v>
      </c>
      <c r="C10" s="44">
        <v>180</v>
      </c>
      <c r="D10" s="69">
        <v>3.25</v>
      </c>
      <c r="E10" s="1">
        <v>190</v>
      </c>
      <c r="F10" s="50">
        <f t="shared" si="0"/>
        <v>111150</v>
      </c>
      <c r="G10" s="553"/>
      <c r="H10" s="535"/>
      <c r="I10" s="534"/>
      <c r="J10" s="533"/>
      <c r="K10" s="543"/>
      <c r="L10" s="533"/>
      <c r="M10" s="64">
        <v>10</v>
      </c>
      <c r="N10" s="7">
        <v>6</v>
      </c>
      <c r="O10" s="7">
        <f t="shared" si="1"/>
        <v>4</v>
      </c>
      <c r="P10">
        <f t="shared" si="2"/>
        <v>0</v>
      </c>
      <c r="S10">
        <f t="shared" si="3"/>
        <v>-180</v>
      </c>
      <c r="T10" s="570"/>
      <c r="U10" s="78" t="s">
        <v>150</v>
      </c>
      <c r="V10" s="44">
        <v>133</v>
      </c>
      <c r="W10" s="78">
        <v>3.25</v>
      </c>
      <c r="X10" s="1">
        <v>190</v>
      </c>
      <c r="Y10" s="50">
        <f t="shared" si="4"/>
        <v>82127.5</v>
      </c>
      <c r="Z10" s="553"/>
      <c r="AA10" s="535"/>
      <c r="AB10" s="534"/>
      <c r="AC10" s="533"/>
      <c r="AD10" s="536"/>
      <c r="AE10" s="533"/>
      <c r="AF10" s="64">
        <v>10</v>
      </c>
      <c r="AG10" s="7">
        <v>6</v>
      </c>
      <c r="AH10" s="7">
        <f t="shared" si="5"/>
        <v>4</v>
      </c>
    </row>
    <row r="11" spans="1:34">
      <c r="A11" s="570"/>
      <c r="B11" s="69" t="s">
        <v>110</v>
      </c>
      <c r="C11" s="44">
        <v>240</v>
      </c>
      <c r="D11" s="69">
        <v>3.25</v>
      </c>
      <c r="E11" s="1">
        <v>190</v>
      </c>
      <c r="F11" s="50">
        <f>C11*D11*E11</f>
        <v>148200</v>
      </c>
      <c r="G11" s="553"/>
      <c r="H11" s="535"/>
      <c r="I11" s="534"/>
      <c r="J11" s="533"/>
      <c r="K11" s="543"/>
      <c r="L11" s="533"/>
      <c r="M11" s="64">
        <v>14</v>
      </c>
      <c r="N11" s="7">
        <v>8</v>
      </c>
      <c r="O11" s="7">
        <f t="shared" si="1"/>
        <v>6</v>
      </c>
      <c r="P11">
        <f t="shared" si="2"/>
        <v>0</v>
      </c>
      <c r="S11">
        <f t="shared" si="3"/>
        <v>-240</v>
      </c>
      <c r="T11" s="570"/>
      <c r="U11" s="78" t="s">
        <v>110</v>
      </c>
      <c r="V11" s="44">
        <v>175</v>
      </c>
      <c r="W11" s="78">
        <v>3.25</v>
      </c>
      <c r="X11" s="1">
        <v>190</v>
      </c>
      <c r="Y11" s="50">
        <f>V11*W11*X11</f>
        <v>108062.5</v>
      </c>
      <c r="Z11" s="553"/>
      <c r="AA11" s="535"/>
      <c r="AB11" s="534"/>
      <c r="AC11" s="533"/>
      <c r="AD11" s="536"/>
      <c r="AE11" s="533"/>
      <c r="AF11" s="64">
        <v>14</v>
      </c>
      <c r="AG11" s="7">
        <v>8</v>
      </c>
      <c r="AH11" s="7">
        <f t="shared" si="5"/>
        <v>6</v>
      </c>
    </row>
    <row r="12" spans="1:34">
      <c r="A12" s="570"/>
      <c r="B12" s="69" t="s">
        <v>151</v>
      </c>
      <c r="C12" s="44">
        <v>122</v>
      </c>
      <c r="D12" s="69">
        <v>3.25</v>
      </c>
      <c r="E12" s="1">
        <v>190</v>
      </c>
      <c r="F12" s="50">
        <f t="shared" si="0"/>
        <v>75335</v>
      </c>
      <c r="G12" s="554"/>
      <c r="H12" s="530"/>
      <c r="I12" s="528"/>
      <c r="J12" s="526"/>
      <c r="K12" s="544"/>
      <c r="L12" s="526"/>
      <c r="M12" s="64">
        <v>7</v>
      </c>
      <c r="N12" s="7">
        <v>4</v>
      </c>
      <c r="O12" s="7">
        <f t="shared" si="1"/>
        <v>3</v>
      </c>
      <c r="P12">
        <f t="shared" si="2"/>
        <v>0</v>
      </c>
      <c r="S12">
        <f t="shared" si="3"/>
        <v>-122</v>
      </c>
      <c r="T12" s="570"/>
      <c r="U12" s="78" t="s">
        <v>151</v>
      </c>
      <c r="V12" s="44">
        <v>94</v>
      </c>
      <c r="W12" s="78">
        <v>3.25</v>
      </c>
      <c r="X12" s="1">
        <v>190</v>
      </c>
      <c r="Y12" s="50">
        <f t="shared" ref="Y12:Y38" si="6">V12*W12*X12</f>
        <v>58045</v>
      </c>
      <c r="Z12" s="554"/>
      <c r="AA12" s="530"/>
      <c r="AB12" s="528"/>
      <c r="AC12" s="526"/>
      <c r="AD12" s="532"/>
      <c r="AE12" s="526"/>
      <c r="AF12" s="64">
        <v>7</v>
      </c>
      <c r="AG12" s="7">
        <v>4</v>
      </c>
      <c r="AH12" s="7">
        <f t="shared" si="5"/>
        <v>3</v>
      </c>
    </row>
    <row r="13" spans="1:34">
      <c r="A13" s="570" t="s">
        <v>145</v>
      </c>
      <c r="B13" s="69" t="s">
        <v>101</v>
      </c>
      <c r="C13" s="44">
        <v>810</v>
      </c>
      <c r="D13" s="69">
        <v>1.8</v>
      </c>
      <c r="E13" s="1">
        <v>190</v>
      </c>
      <c r="F13" s="50">
        <f t="shared" si="0"/>
        <v>277020</v>
      </c>
      <c r="G13" s="552">
        <v>2500</v>
      </c>
      <c r="H13" s="529">
        <v>4808</v>
      </c>
      <c r="I13" s="527">
        <v>470</v>
      </c>
      <c r="J13" s="525">
        <f>G13/H13*SUM(C13:C17)*I13</f>
        <v>520538.6855241264</v>
      </c>
      <c r="K13" s="542">
        <f>J13+SUM(F13:F17)</f>
        <v>1248998.6855241265</v>
      </c>
      <c r="L13" s="525">
        <f>K13/SUM(C13:C17)</f>
        <v>586.38435940099839</v>
      </c>
      <c r="M13" s="64">
        <v>59</v>
      </c>
      <c r="N13" s="7">
        <v>27</v>
      </c>
      <c r="O13" s="7">
        <f t="shared" si="1"/>
        <v>32</v>
      </c>
      <c r="P13">
        <f t="shared" si="2"/>
        <v>1923.2</v>
      </c>
      <c r="S13">
        <f t="shared" si="3"/>
        <v>3998</v>
      </c>
      <c r="T13" s="570" t="s">
        <v>145</v>
      </c>
      <c r="U13" s="78" t="s">
        <v>101</v>
      </c>
      <c r="V13" s="44">
        <v>960</v>
      </c>
      <c r="W13" s="78">
        <v>1.8</v>
      </c>
      <c r="X13" s="1">
        <v>190</v>
      </c>
      <c r="Y13" s="50">
        <f t="shared" si="6"/>
        <v>328320</v>
      </c>
      <c r="Z13" s="552">
        <v>2500</v>
      </c>
      <c r="AA13" s="529">
        <v>4808</v>
      </c>
      <c r="AB13" s="527">
        <v>470</v>
      </c>
      <c r="AC13" s="525">
        <f>Z13/AA13*SUM(V13:V17)*AB13</f>
        <v>654461.31447587349</v>
      </c>
      <c r="AD13" s="531">
        <f>AC13+SUM(Y13:Y17)</f>
        <v>1570337.3144758735</v>
      </c>
      <c r="AE13" s="525">
        <f>AD13/SUM(V13:V17)</f>
        <v>586.38435940099828</v>
      </c>
      <c r="AF13" s="64">
        <v>59</v>
      </c>
      <c r="AG13" s="7">
        <v>27</v>
      </c>
      <c r="AH13" s="7">
        <f t="shared" si="5"/>
        <v>32</v>
      </c>
    </row>
    <row r="14" spans="1:34">
      <c r="A14" s="570"/>
      <c r="B14" s="69" t="s">
        <v>94</v>
      </c>
      <c r="C14" s="44">
        <v>600</v>
      </c>
      <c r="D14" s="69">
        <v>1.8</v>
      </c>
      <c r="E14" s="1">
        <v>190</v>
      </c>
      <c r="F14" s="50">
        <f t="shared" si="0"/>
        <v>205200</v>
      </c>
      <c r="G14" s="553"/>
      <c r="H14" s="535"/>
      <c r="I14" s="534"/>
      <c r="J14" s="533"/>
      <c r="K14" s="543"/>
      <c r="L14" s="533"/>
      <c r="M14" s="64">
        <v>46</v>
      </c>
      <c r="N14" s="7">
        <v>20</v>
      </c>
      <c r="O14" s="7">
        <f t="shared" si="1"/>
        <v>26</v>
      </c>
      <c r="P14">
        <f t="shared" si="2"/>
        <v>0</v>
      </c>
      <c r="S14">
        <f t="shared" si="3"/>
        <v>-600</v>
      </c>
      <c r="T14" s="570"/>
      <c r="U14" s="78" t="s">
        <v>94</v>
      </c>
      <c r="V14" s="44">
        <v>771</v>
      </c>
      <c r="W14" s="78">
        <v>1.8</v>
      </c>
      <c r="X14" s="1">
        <v>190</v>
      </c>
      <c r="Y14" s="50">
        <f t="shared" si="6"/>
        <v>263682</v>
      </c>
      <c r="Z14" s="553"/>
      <c r="AA14" s="535"/>
      <c r="AB14" s="534"/>
      <c r="AC14" s="533"/>
      <c r="AD14" s="536"/>
      <c r="AE14" s="533"/>
      <c r="AF14" s="64">
        <v>46</v>
      </c>
      <c r="AG14" s="7">
        <v>20</v>
      </c>
      <c r="AH14" s="7">
        <f t="shared" si="5"/>
        <v>26</v>
      </c>
    </row>
    <row r="15" spans="1:34" ht="15" customHeight="1">
      <c r="A15" s="570"/>
      <c r="B15" s="69" t="s">
        <v>96</v>
      </c>
      <c r="C15" s="44">
        <v>300</v>
      </c>
      <c r="D15" s="69">
        <v>1.8</v>
      </c>
      <c r="E15" s="1">
        <v>190</v>
      </c>
      <c r="F15" s="50">
        <f t="shared" si="0"/>
        <v>102600</v>
      </c>
      <c r="G15" s="553"/>
      <c r="H15" s="535"/>
      <c r="I15" s="534"/>
      <c r="J15" s="533"/>
      <c r="K15" s="543"/>
      <c r="L15" s="533"/>
      <c r="M15" s="64">
        <v>24</v>
      </c>
      <c r="N15" s="7">
        <v>10</v>
      </c>
      <c r="O15" s="7">
        <f t="shared" si="1"/>
        <v>14</v>
      </c>
      <c r="P15">
        <f t="shared" si="2"/>
        <v>0</v>
      </c>
      <c r="S15">
        <f t="shared" si="3"/>
        <v>-300</v>
      </c>
      <c r="T15" s="570"/>
      <c r="U15" s="78" t="s">
        <v>96</v>
      </c>
      <c r="V15" s="44">
        <v>427</v>
      </c>
      <c r="W15" s="78">
        <v>1.8</v>
      </c>
      <c r="X15" s="1">
        <v>190</v>
      </c>
      <c r="Y15" s="50">
        <f t="shared" si="6"/>
        <v>146034</v>
      </c>
      <c r="Z15" s="553"/>
      <c r="AA15" s="535"/>
      <c r="AB15" s="534"/>
      <c r="AC15" s="533"/>
      <c r="AD15" s="536"/>
      <c r="AE15" s="533"/>
      <c r="AF15" s="64">
        <v>24</v>
      </c>
      <c r="AG15" s="7">
        <v>10</v>
      </c>
      <c r="AH15" s="7">
        <f t="shared" si="5"/>
        <v>14</v>
      </c>
    </row>
    <row r="16" spans="1:34">
      <c r="A16" s="570"/>
      <c r="B16" s="69" t="s">
        <v>95</v>
      </c>
      <c r="C16" s="44">
        <v>180</v>
      </c>
      <c r="D16" s="69">
        <v>1.8</v>
      </c>
      <c r="E16" s="1">
        <v>190</v>
      </c>
      <c r="F16" s="50">
        <f t="shared" si="0"/>
        <v>61560</v>
      </c>
      <c r="G16" s="553"/>
      <c r="H16" s="535"/>
      <c r="I16" s="534"/>
      <c r="J16" s="533"/>
      <c r="K16" s="543"/>
      <c r="L16" s="533"/>
      <c r="M16" s="64">
        <v>13</v>
      </c>
      <c r="N16" s="7">
        <v>6</v>
      </c>
      <c r="O16" s="7">
        <f t="shared" si="1"/>
        <v>7</v>
      </c>
      <c r="P16">
        <f t="shared" si="2"/>
        <v>0</v>
      </c>
      <c r="S16">
        <f t="shared" si="3"/>
        <v>-180</v>
      </c>
      <c r="T16" s="570"/>
      <c r="U16" s="78" t="s">
        <v>95</v>
      </c>
      <c r="V16" s="44">
        <v>225</v>
      </c>
      <c r="W16" s="78">
        <v>1.8</v>
      </c>
      <c r="X16" s="1">
        <v>190</v>
      </c>
      <c r="Y16" s="50">
        <f t="shared" si="6"/>
        <v>76950</v>
      </c>
      <c r="Z16" s="553"/>
      <c r="AA16" s="535"/>
      <c r="AB16" s="534"/>
      <c r="AC16" s="533"/>
      <c r="AD16" s="536"/>
      <c r="AE16" s="533"/>
      <c r="AF16" s="64">
        <v>13</v>
      </c>
      <c r="AG16" s="7">
        <v>6</v>
      </c>
      <c r="AH16" s="7">
        <f t="shared" si="5"/>
        <v>7</v>
      </c>
    </row>
    <row r="17" spans="1:34">
      <c r="A17" s="570"/>
      <c r="B17" s="69" t="s">
        <v>100</v>
      </c>
      <c r="C17" s="44">
        <v>240</v>
      </c>
      <c r="D17" s="69">
        <v>1.8</v>
      </c>
      <c r="E17" s="1">
        <v>190</v>
      </c>
      <c r="F17" s="50">
        <f t="shared" si="0"/>
        <v>82080</v>
      </c>
      <c r="G17" s="554"/>
      <c r="H17" s="530"/>
      <c r="I17" s="528"/>
      <c r="J17" s="526"/>
      <c r="K17" s="544"/>
      <c r="L17" s="526"/>
      <c r="M17" s="64">
        <v>18</v>
      </c>
      <c r="N17" s="7">
        <v>8</v>
      </c>
      <c r="O17" s="7">
        <f t="shared" si="1"/>
        <v>10</v>
      </c>
      <c r="P17">
        <f t="shared" si="2"/>
        <v>0</v>
      </c>
      <c r="S17">
        <f t="shared" si="3"/>
        <v>-240</v>
      </c>
      <c r="T17" s="570"/>
      <c r="U17" s="78" t="s">
        <v>100</v>
      </c>
      <c r="V17" s="44">
        <v>295</v>
      </c>
      <c r="W17" s="78">
        <v>1.8</v>
      </c>
      <c r="X17" s="1">
        <v>190</v>
      </c>
      <c r="Y17" s="50">
        <f t="shared" si="6"/>
        <v>100890</v>
      </c>
      <c r="Z17" s="554"/>
      <c r="AA17" s="530"/>
      <c r="AB17" s="528"/>
      <c r="AC17" s="526"/>
      <c r="AD17" s="532"/>
      <c r="AE17" s="526"/>
      <c r="AF17" s="64">
        <v>18</v>
      </c>
      <c r="AG17" s="7">
        <v>8</v>
      </c>
      <c r="AH17" s="7">
        <f t="shared" si="5"/>
        <v>10</v>
      </c>
    </row>
    <row r="18" spans="1:34">
      <c r="A18" s="550" t="s">
        <v>134</v>
      </c>
      <c r="B18" s="69" t="s">
        <v>94</v>
      </c>
      <c r="C18" s="69">
        <v>1200</v>
      </c>
      <c r="D18" s="69">
        <v>1.63</v>
      </c>
      <c r="E18" s="1">
        <v>190</v>
      </c>
      <c r="F18" s="50">
        <f t="shared" si="0"/>
        <v>371639.99999999994</v>
      </c>
      <c r="G18" s="552">
        <v>1230</v>
      </c>
      <c r="H18" s="575">
        <v>3552</v>
      </c>
      <c r="I18" s="527">
        <v>470</v>
      </c>
      <c r="J18" s="525">
        <f>G18/H18*SUM(C18:C19)*I18</f>
        <v>244130.06756756754</v>
      </c>
      <c r="K18" s="542">
        <f>J18+SUM(F18:F19)</f>
        <v>708680.06756756746</v>
      </c>
      <c r="L18" s="525">
        <f>K18/SUM(C18:C19)</f>
        <v>472.45337837837832</v>
      </c>
      <c r="M18" s="64">
        <v>85</v>
      </c>
      <c r="N18" s="7">
        <v>40</v>
      </c>
      <c r="O18" s="7">
        <f t="shared" si="1"/>
        <v>45</v>
      </c>
      <c r="P18">
        <f t="shared" si="2"/>
        <v>1420.8000000000002</v>
      </c>
      <c r="S18">
        <f t="shared" si="3"/>
        <v>2352</v>
      </c>
      <c r="T18" s="550" t="s">
        <v>134</v>
      </c>
      <c r="U18" s="78" t="s">
        <v>94</v>
      </c>
      <c r="V18" s="78">
        <v>1343</v>
      </c>
      <c r="W18" s="78">
        <v>1.63</v>
      </c>
      <c r="X18" s="1">
        <v>190</v>
      </c>
      <c r="Y18" s="50">
        <f t="shared" si="6"/>
        <v>415927.09999999992</v>
      </c>
      <c r="Z18" s="552">
        <v>1230</v>
      </c>
      <c r="AA18" s="575">
        <v>3552</v>
      </c>
      <c r="AB18" s="527">
        <v>470</v>
      </c>
      <c r="AC18" s="525">
        <f>Z18/AA18*SUM(V18:V19)*AB18</f>
        <v>333969.93243243243</v>
      </c>
      <c r="AD18" s="531">
        <f>AC18+SUM(Y18:Y19)</f>
        <v>969474.33243243233</v>
      </c>
      <c r="AE18" s="525">
        <f>AD18/SUM(V18:V19)</f>
        <v>472.45337837837832</v>
      </c>
      <c r="AF18" s="64">
        <v>85</v>
      </c>
      <c r="AG18" s="7">
        <v>40</v>
      </c>
      <c r="AH18" s="7">
        <f t="shared" si="5"/>
        <v>45</v>
      </c>
    </row>
    <row r="19" spans="1:34">
      <c r="A19" s="550"/>
      <c r="B19" s="69" t="s">
        <v>98</v>
      </c>
      <c r="C19" s="69">
        <v>300</v>
      </c>
      <c r="D19" s="69">
        <v>1.63</v>
      </c>
      <c r="E19" s="1">
        <v>190</v>
      </c>
      <c r="F19" s="50">
        <f t="shared" si="0"/>
        <v>92909.999999999985</v>
      </c>
      <c r="G19" s="554"/>
      <c r="H19" s="577"/>
      <c r="I19" s="528"/>
      <c r="J19" s="526"/>
      <c r="K19" s="544"/>
      <c r="L19" s="526"/>
      <c r="M19" s="64">
        <v>34</v>
      </c>
      <c r="N19" s="7">
        <v>10</v>
      </c>
      <c r="O19" s="7">
        <f t="shared" si="1"/>
        <v>24</v>
      </c>
      <c r="P19">
        <f t="shared" si="2"/>
        <v>0</v>
      </c>
      <c r="S19">
        <f t="shared" si="3"/>
        <v>-300</v>
      </c>
      <c r="T19" s="550"/>
      <c r="U19" s="78" t="s">
        <v>98</v>
      </c>
      <c r="V19" s="78">
        <v>709</v>
      </c>
      <c r="W19" s="78">
        <v>1.63</v>
      </c>
      <c r="X19" s="1">
        <v>190</v>
      </c>
      <c r="Y19" s="50">
        <f t="shared" si="6"/>
        <v>219577.29999999996</v>
      </c>
      <c r="Z19" s="554"/>
      <c r="AA19" s="577"/>
      <c r="AB19" s="528"/>
      <c r="AC19" s="526"/>
      <c r="AD19" s="532"/>
      <c r="AE19" s="526"/>
      <c r="AF19" s="64">
        <v>34</v>
      </c>
      <c r="AG19" s="7">
        <v>10</v>
      </c>
      <c r="AH19" s="7">
        <f t="shared" si="5"/>
        <v>24</v>
      </c>
    </row>
    <row r="20" spans="1:34" ht="15" customHeight="1">
      <c r="A20" s="550" t="s">
        <v>105</v>
      </c>
      <c r="B20" s="44" t="s">
        <v>94</v>
      </c>
      <c r="C20" s="44">
        <v>300</v>
      </c>
      <c r="D20" s="69">
        <v>1.32</v>
      </c>
      <c r="E20" s="1">
        <v>190</v>
      </c>
      <c r="F20" s="50">
        <f t="shared" si="0"/>
        <v>75240</v>
      </c>
      <c r="G20" s="552">
        <v>800</v>
      </c>
      <c r="H20" s="529">
        <v>1080</v>
      </c>
      <c r="I20" s="527">
        <v>470</v>
      </c>
      <c r="J20" s="525">
        <f>G20/H20*SUM(C20:C21)*I20</f>
        <v>146222.22222222222</v>
      </c>
      <c r="K20" s="542">
        <f>J20+SUM(F20:F21)</f>
        <v>253838.22222222222</v>
      </c>
      <c r="L20" s="525">
        <f>K20/SUM(C20:C21)</f>
        <v>604.37671957671955</v>
      </c>
      <c r="M20" s="64">
        <v>25</v>
      </c>
      <c r="N20" s="7">
        <v>10</v>
      </c>
      <c r="O20" s="7">
        <f t="shared" si="1"/>
        <v>15</v>
      </c>
      <c r="P20">
        <f t="shared" si="2"/>
        <v>432</v>
      </c>
      <c r="S20">
        <f t="shared" si="3"/>
        <v>780</v>
      </c>
      <c r="T20" s="550" t="s">
        <v>105</v>
      </c>
      <c r="U20" s="44" t="s">
        <v>94</v>
      </c>
      <c r="V20" s="44">
        <v>450</v>
      </c>
      <c r="W20" s="78">
        <v>1.32</v>
      </c>
      <c r="X20" s="1">
        <v>190</v>
      </c>
      <c r="Y20" s="50">
        <f t="shared" si="6"/>
        <v>112860</v>
      </c>
      <c r="Z20" s="552">
        <v>800</v>
      </c>
      <c r="AA20" s="529">
        <v>1080</v>
      </c>
      <c r="AB20" s="527">
        <v>470</v>
      </c>
      <c r="AC20" s="525">
        <f>Z20/AA20*SUM(V20:V21)*AB20</f>
        <v>229777.77777777775</v>
      </c>
      <c r="AD20" s="531">
        <f>AC20+SUM(Y20:Y21)</f>
        <v>399295.77777777775</v>
      </c>
      <c r="AE20" s="525">
        <f>AD20/SUM(V20:V21)</f>
        <v>604.99360269360261</v>
      </c>
      <c r="AF20" s="64">
        <v>25</v>
      </c>
      <c r="AG20" s="7">
        <v>10</v>
      </c>
      <c r="AH20" s="7">
        <f t="shared" si="5"/>
        <v>15</v>
      </c>
    </row>
    <row r="21" spans="1:34">
      <c r="A21" s="550"/>
      <c r="B21" s="44" t="s">
        <v>99</v>
      </c>
      <c r="C21" s="44">
        <v>120</v>
      </c>
      <c r="D21" s="69">
        <v>1.42</v>
      </c>
      <c r="E21" s="1">
        <v>190</v>
      </c>
      <c r="F21" s="50">
        <f t="shared" si="0"/>
        <v>32375.999999999996</v>
      </c>
      <c r="G21" s="554"/>
      <c r="H21" s="530"/>
      <c r="I21" s="528"/>
      <c r="J21" s="526"/>
      <c r="K21" s="544"/>
      <c r="L21" s="526"/>
      <c r="M21" s="64">
        <v>11</v>
      </c>
      <c r="N21" s="7">
        <v>4</v>
      </c>
      <c r="O21" s="7">
        <f t="shared" si="1"/>
        <v>7</v>
      </c>
      <c r="P21">
        <f t="shared" si="2"/>
        <v>0</v>
      </c>
      <c r="S21">
        <f t="shared" si="3"/>
        <v>-120</v>
      </c>
      <c r="T21" s="550"/>
      <c r="U21" s="44" t="s">
        <v>99</v>
      </c>
      <c r="V21" s="44">
        <v>210</v>
      </c>
      <c r="W21" s="78">
        <v>1.42</v>
      </c>
      <c r="X21" s="1">
        <v>190</v>
      </c>
      <c r="Y21" s="50">
        <f t="shared" si="6"/>
        <v>56658</v>
      </c>
      <c r="Z21" s="554"/>
      <c r="AA21" s="530"/>
      <c r="AB21" s="528"/>
      <c r="AC21" s="526"/>
      <c r="AD21" s="532"/>
      <c r="AE21" s="526"/>
      <c r="AF21" s="64">
        <v>11</v>
      </c>
      <c r="AG21" s="7">
        <v>4</v>
      </c>
      <c r="AH21" s="7">
        <f t="shared" si="5"/>
        <v>7</v>
      </c>
    </row>
    <row r="22" spans="1:34">
      <c r="A22" s="573" t="s">
        <v>146</v>
      </c>
      <c r="B22" s="70" t="s">
        <v>152</v>
      </c>
      <c r="C22" s="69">
        <v>660</v>
      </c>
      <c r="D22" s="70">
        <v>1.43</v>
      </c>
      <c r="E22" s="1">
        <v>190</v>
      </c>
      <c r="F22" s="50">
        <f t="shared" si="0"/>
        <v>179322</v>
      </c>
      <c r="G22" s="552">
        <v>1800</v>
      </c>
      <c r="H22" s="575">
        <v>5168</v>
      </c>
      <c r="I22" s="527">
        <v>470</v>
      </c>
      <c r="J22" s="525">
        <f>G22/H22*SUM(C22:C26)*I22</f>
        <v>384366.87306501553</v>
      </c>
      <c r="K22" s="542">
        <f>J22+SUM(F22:F26)</f>
        <v>1004496.4730650155</v>
      </c>
      <c r="L22" s="525">
        <f>K22/SUM(C22:C26)</f>
        <v>427.80940079429962</v>
      </c>
      <c r="M22" s="64">
        <v>48</v>
      </c>
      <c r="N22" s="7">
        <v>22</v>
      </c>
      <c r="O22" s="7">
        <f t="shared" si="1"/>
        <v>26</v>
      </c>
      <c r="P22">
        <f t="shared" si="2"/>
        <v>2067.2000000000003</v>
      </c>
      <c r="S22">
        <f t="shared" si="3"/>
        <v>4508</v>
      </c>
      <c r="T22" s="573" t="s">
        <v>146</v>
      </c>
      <c r="U22" s="70" t="s">
        <v>152</v>
      </c>
      <c r="V22" s="78">
        <v>741</v>
      </c>
      <c r="W22" s="70">
        <v>1.43</v>
      </c>
      <c r="X22" s="1">
        <v>190</v>
      </c>
      <c r="Y22" s="50">
        <f t="shared" si="6"/>
        <v>201329.69999999998</v>
      </c>
      <c r="Z22" s="552">
        <v>1800</v>
      </c>
      <c r="AA22" s="575">
        <v>5168</v>
      </c>
      <c r="AB22" s="527">
        <v>470</v>
      </c>
      <c r="AC22" s="525">
        <f>Z22/AA22*SUM(V22:V26)*AB22</f>
        <v>461633.12693498452</v>
      </c>
      <c r="AD22" s="531">
        <f>AC22+SUM(Y22:Y26)</f>
        <v>1207858.1269349845</v>
      </c>
      <c r="AE22" s="525">
        <f>AD22/SUM(V22:V26)</f>
        <v>428.31848472871792</v>
      </c>
      <c r="AF22" s="64">
        <v>48</v>
      </c>
      <c r="AG22" s="7">
        <v>22</v>
      </c>
      <c r="AH22" s="7">
        <f t="shared" si="5"/>
        <v>26</v>
      </c>
    </row>
    <row r="23" spans="1:34">
      <c r="A23" s="573"/>
      <c r="B23" s="70" t="s">
        <v>98</v>
      </c>
      <c r="C23" s="69">
        <v>608</v>
      </c>
      <c r="D23" s="70">
        <v>1.33</v>
      </c>
      <c r="E23" s="1">
        <v>190</v>
      </c>
      <c r="F23" s="50">
        <f t="shared" si="0"/>
        <v>153641.60000000001</v>
      </c>
      <c r="G23" s="553"/>
      <c r="H23" s="576"/>
      <c r="I23" s="534"/>
      <c r="J23" s="533"/>
      <c r="K23" s="543"/>
      <c r="L23" s="533"/>
      <c r="M23" s="64">
        <v>43</v>
      </c>
      <c r="N23" s="7">
        <v>20</v>
      </c>
      <c r="O23" s="7">
        <f t="shared" si="1"/>
        <v>23</v>
      </c>
      <c r="P23">
        <f t="shared" si="2"/>
        <v>0</v>
      </c>
      <c r="S23">
        <f t="shared" si="3"/>
        <v>-608</v>
      </c>
      <c r="T23" s="573"/>
      <c r="U23" s="70" t="s">
        <v>98</v>
      </c>
      <c r="V23" s="78">
        <v>700</v>
      </c>
      <c r="W23" s="70">
        <v>1.33</v>
      </c>
      <c r="X23" s="1">
        <v>190</v>
      </c>
      <c r="Y23" s="50">
        <f t="shared" si="6"/>
        <v>176890</v>
      </c>
      <c r="Z23" s="553"/>
      <c r="AA23" s="576"/>
      <c r="AB23" s="534"/>
      <c r="AC23" s="533"/>
      <c r="AD23" s="536"/>
      <c r="AE23" s="533"/>
      <c r="AF23" s="64">
        <v>43</v>
      </c>
      <c r="AG23" s="7">
        <v>20</v>
      </c>
      <c r="AH23" s="7">
        <f t="shared" si="5"/>
        <v>23</v>
      </c>
    </row>
    <row r="24" spans="1:34">
      <c r="A24" s="573"/>
      <c r="B24" s="70" t="s">
        <v>95</v>
      </c>
      <c r="C24" s="69">
        <v>540</v>
      </c>
      <c r="D24" s="70">
        <v>1.43</v>
      </c>
      <c r="E24" s="1">
        <v>190</v>
      </c>
      <c r="F24" s="50">
        <f t="shared" si="0"/>
        <v>146718</v>
      </c>
      <c r="G24" s="553"/>
      <c r="H24" s="576"/>
      <c r="I24" s="534"/>
      <c r="J24" s="533"/>
      <c r="K24" s="543"/>
      <c r="L24" s="533"/>
      <c r="M24" s="64">
        <v>44</v>
      </c>
      <c r="N24" s="7">
        <v>18</v>
      </c>
      <c r="O24" s="7">
        <f t="shared" si="1"/>
        <v>26</v>
      </c>
      <c r="P24">
        <f t="shared" si="2"/>
        <v>0</v>
      </c>
      <c r="S24">
        <f t="shared" si="3"/>
        <v>-540</v>
      </c>
      <c r="T24" s="573"/>
      <c r="U24" s="70" t="s">
        <v>95</v>
      </c>
      <c r="V24" s="78">
        <v>770</v>
      </c>
      <c r="W24" s="70">
        <v>1.43</v>
      </c>
      <c r="X24" s="1">
        <v>190</v>
      </c>
      <c r="Y24" s="50">
        <f t="shared" si="6"/>
        <v>209208.99999999997</v>
      </c>
      <c r="Z24" s="553"/>
      <c r="AA24" s="576"/>
      <c r="AB24" s="534"/>
      <c r="AC24" s="533"/>
      <c r="AD24" s="536"/>
      <c r="AE24" s="533"/>
      <c r="AF24" s="64">
        <v>44</v>
      </c>
      <c r="AG24" s="7">
        <v>18</v>
      </c>
      <c r="AH24" s="7">
        <f t="shared" si="5"/>
        <v>26</v>
      </c>
    </row>
    <row r="25" spans="1:34">
      <c r="A25" s="573"/>
      <c r="B25" s="70" t="s">
        <v>96</v>
      </c>
      <c r="C25" s="69">
        <v>330</v>
      </c>
      <c r="D25" s="70">
        <v>1.33</v>
      </c>
      <c r="E25" s="1">
        <v>190</v>
      </c>
      <c r="F25" s="50">
        <f t="shared" si="0"/>
        <v>83391</v>
      </c>
      <c r="G25" s="553"/>
      <c r="H25" s="576"/>
      <c r="I25" s="534"/>
      <c r="J25" s="533"/>
      <c r="K25" s="543"/>
      <c r="L25" s="533"/>
      <c r="M25" s="64">
        <v>23</v>
      </c>
      <c r="N25" s="7">
        <v>11</v>
      </c>
      <c r="O25" s="7">
        <f t="shared" si="1"/>
        <v>12</v>
      </c>
      <c r="P25">
        <f t="shared" si="2"/>
        <v>0</v>
      </c>
      <c r="S25">
        <f t="shared" si="3"/>
        <v>-330</v>
      </c>
      <c r="T25" s="573"/>
      <c r="U25" s="70" t="s">
        <v>96</v>
      </c>
      <c r="V25" s="78">
        <v>351</v>
      </c>
      <c r="W25" s="70">
        <v>1.33</v>
      </c>
      <c r="X25" s="1">
        <v>190</v>
      </c>
      <c r="Y25" s="50">
        <f t="shared" si="6"/>
        <v>88697.700000000012</v>
      </c>
      <c r="Z25" s="553"/>
      <c r="AA25" s="576"/>
      <c r="AB25" s="534"/>
      <c r="AC25" s="533"/>
      <c r="AD25" s="536"/>
      <c r="AE25" s="533"/>
      <c r="AF25" s="64">
        <v>23</v>
      </c>
      <c r="AG25" s="7">
        <v>11</v>
      </c>
      <c r="AH25" s="7">
        <f t="shared" si="5"/>
        <v>12</v>
      </c>
    </row>
    <row r="26" spans="1:34">
      <c r="A26" s="573"/>
      <c r="B26" s="70" t="s">
        <v>102</v>
      </c>
      <c r="C26" s="69">
        <v>210</v>
      </c>
      <c r="D26" s="70">
        <v>1.43</v>
      </c>
      <c r="E26" s="1">
        <v>190</v>
      </c>
      <c r="F26" s="50">
        <f t="shared" si="0"/>
        <v>57057</v>
      </c>
      <c r="G26" s="554"/>
      <c r="H26" s="577"/>
      <c r="I26" s="528"/>
      <c r="J26" s="526"/>
      <c r="K26" s="544"/>
      <c r="L26" s="526"/>
      <c r="M26" s="64">
        <v>16</v>
      </c>
      <c r="N26" s="7">
        <v>7</v>
      </c>
      <c r="O26" s="7">
        <f t="shared" si="1"/>
        <v>9</v>
      </c>
      <c r="P26">
        <f t="shared" si="2"/>
        <v>0</v>
      </c>
      <c r="S26">
        <f t="shared" si="3"/>
        <v>-210</v>
      </c>
      <c r="T26" s="573"/>
      <c r="U26" s="70" t="s">
        <v>102</v>
      </c>
      <c r="V26" s="78">
        <v>258</v>
      </c>
      <c r="W26" s="70">
        <v>1.43</v>
      </c>
      <c r="X26" s="1">
        <v>190</v>
      </c>
      <c r="Y26" s="50">
        <f t="shared" si="6"/>
        <v>70098.600000000006</v>
      </c>
      <c r="Z26" s="554"/>
      <c r="AA26" s="577"/>
      <c r="AB26" s="528"/>
      <c r="AC26" s="526"/>
      <c r="AD26" s="532"/>
      <c r="AE26" s="526"/>
      <c r="AF26" s="64">
        <v>16</v>
      </c>
      <c r="AG26" s="7">
        <v>7</v>
      </c>
      <c r="AH26" s="7">
        <f t="shared" si="5"/>
        <v>9</v>
      </c>
    </row>
    <row r="27" spans="1:34">
      <c r="A27" s="44" t="s">
        <v>46</v>
      </c>
      <c r="B27" s="44" t="s">
        <v>100</v>
      </c>
      <c r="C27" s="44">
        <v>550</v>
      </c>
      <c r="D27" s="69">
        <v>0.92</v>
      </c>
      <c r="E27" s="1">
        <v>190</v>
      </c>
      <c r="F27" s="50">
        <f t="shared" si="0"/>
        <v>96140</v>
      </c>
      <c r="G27" s="54">
        <v>300</v>
      </c>
      <c r="H27" s="44">
        <v>1348</v>
      </c>
      <c r="I27" s="82">
        <v>470</v>
      </c>
      <c r="J27" s="83">
        <f>G27/H27*C27*I27</f>
        <v>57529.673590504448</v>
      </c>
      <c r="K27" s="51">
        <f t="shared" ref="K27:K38" si="7">J27+F27</f>
        <v>153669.67359050445</v>
      </c>
      <c r="L27" s="84">
        <f>K27/C27</f>
        <v>279.3994065281899</v>
      </c>
      <c r="M27" s="64">
        <v>27</v>
      </c>
      <c r="N27" s="7">
        <v>11</v>
      </c>
      <c r="O27" s="7">
        <f t="shared" si="1"/>
        <v>16</v>
      </c>
      <c r="P27">
        <f t="shared" si="2"/>
        <v>539.20000000000005</v>
      </c>
      <c r="S27">
        <f t="shared" si="3"/>
        <v>798</v>
      </c>
      <c r="T27" s="44" t="s">
        <v>46</v>
      </c>
      <c r="U27" s="44" t="s">
        <v>100</v>
      </c>
      <c r="V27" s="44">
        <v>798</v>
      </c>
      <c r="W27" s="78">
        <v>0.92</v>
      </c>
      <c r="X27" s="1">
        <v>190</v>
      </c>
      <c r="Y27" s="50">
        <f t="shared" si="6"/>
        <v>139490.40000000002</v>
      </c>
      <c r="Z27" s="54">
        <v>300</v>
      </c>
      <c r="AA27" s="44">
        <v>1348</v>
      </c>
      <c r="AB27" s="82">
        <v>470</v>
      </c>
      <c r="AC27" s="83">
        <f t="shared" ref="AC27" si="8">Z27/AA27*V27*AB27</f>
        <v>83470.326409495552</v>
      </c>
      <c r="AD27" s="85">
        <f t="shared" ref="AD27" si="9">AC27+Y27</f>
        <v>222960.72640949558</v>
      </c>
      <c r="AE27" s="84">
        <f>AD27/V27</f>
        <v>279.39940652818996</v>
      </c>
      <c r="AF27" s="64">
        <v>27</v>
      </c>
      <c r="AG27" s="7">
        <v>11</v>
      </c>
      <c r="AH27" s="7">
        <f t="shared" si="5"/>
        <v>16</v>
      </c>
    </row>
    <row r="28" spans="1:34">
      <c r="A28" s="550" t="s">
        <v>147</v>
      </c>
      <c r="B28" s="44" t="s">
        <v>94</v>
      </c>
      <c r="C28" s="44">
        <v>418</v>
      </c>
      <c r="D28" s="44">
        <v>4.0999999999999996</v>
      </c>
      <c r="E28" s="1">
        <v>190</v>
      </c>
      <c r="F28" s="50">
        <f t="shared" si="0"/>
        <v>325622</v>
      </c>
      <c r="G28" s="552">
        <v>2100</v>
      </c>
      <c r="H28" s="529">
        <v>2764</v>
      </c>
      <c r="I28" s="527">
        <v>470</v>
      </c>
      <c r="J28" s="525">
        <f>G28/H28*SUM(C28:C32)*I28</f>
        <v>395657.01881331403</v>
      </c>
      <c r="K28" s="542">
        <f>J28+SUM(F28:F32)</f>
        <v>1243114.0188133139</v>
      </c>
      <c r="L28" s="525">
        <f>K28/SUM(C28:C32)</f>
        <v>1121.9440603008247</v>
      </c>
      <c r="M28" s="64">
        <v>36</v>
      </c>
      <c r="N28" s="7">
        <v>14</v>
      </c>
      <c r="O28" s="7">
        <f t="shared" si="1"/>
        <v>22</v>
      </c>
      <c r="P28">
        <f t="shared" si="2"/>
        <v>1105.6000000000001</v>
      </c>
      <c r="S28">
        <f t="shared" si="3"/>
        <v>2346</v>
      </c>
      <c r="T28" s="550" t="s">
        <v>147</v>
      </c>
      <c r="U28" s="44" t="s">
        <v>94</v>
      </c>
      <c r="V28" s="44">
        <v>643</v>
      </c>
      <c r="W28" s="44">
        <v>4.0999999999999996</v>
      </c>
      <c r="X28" s="1">
        <v>190</v>
      </c>
      <c r="Y28" s="50">
        <f t="shared" si="6"/>
        <v>500896.99999999994</v>
      </c>
      <c r="Z28" s="552">
        <v>2100</v>
      </c>
      <c r="AA28" s="529">
        <v>2764</v>
      </c>
      <c r="AB28" s="527">
        <v>470</v>
      </c>
      <c r="AC28" s="525">
        <f>Z28/AA28*SUM(V28:V32)*AB28</f>
        <v>591342.98118668597</v>
      </c>
      <c r="AD28" s="531">
        <f>AC28+SUM(Y28:Y32)</f>
        <v>1858481.4811866861</v>
      </c>
      <c r="AE28" s="525">
        <f>AD28/SUM(V28:V32)</f>
        <v>1122.2714258373708</v>
      </c>
      <c r="AF28" s="64">
        <v>36</v>
      </c>
      <c r="AG28" s="7">
        <v>14</v>
      </c>
      <c r="AH28" s="7">
        <f t="shared" si="5"/>
        <v>22</v>
      </c>
    </row>
    <row r="29" spans="1:34">
      <c r="A29" s="550"/>
      <c r="B29" s="44" t="s">
        <v>98</v>
      </c>
      <c r="C29" s="44">
        <v>180</v>
      </c>
      <c r="D29" s="44">
        <v>4.0999999999999996</v>
      </c>
      <c r="E29" s="1">
        <v>190</v>
      </c>
      <c r="F29" s="50">
        <f t="shared" si="0"/>
        <v>140219.99999999997</v>
      </c>
      <c r="G29" s="553"/>
      <c r="H29" s="535"/>
      <c r="I29" s="534"/>
      <c r="J29" s="533"/>
      <c r="K29" s="543"/>
      <c r="L29" s="533"/>
      <c r="M29" s="64">
        <v>15</v>
      </c>
      <c r="N29" s="7">
        <v>6</v>
      </c>
      <c r="O29" s="7">
        <f t="shared" si="1"/>
        <v>9</v>
      </c>
      <c r="P29">
        <f t="shared" si="2"/>
        <v>0</v>
      </c>
      <c r="S29">
        <f t="shared" si="3"/>
        <v>-180</v>
      </c>
      <c r="T29" s="550"/>
      <c r="U29" s="44" t="s">
        <v>98</v>
      </c>
      <c r="V29" s="44">
        <v>254</v>
      </c>
      <c r="W29" s="44">
        <v>4.0999999999999996</v>
      </c>
      <c r="X29" s="1">
        <v>190</v>
      </c>
      <c r="Y29" s="50">
        <f t="shared" si="6"/>
        <v>197865.99999999997</v>
      </c>
      <c r="Z29" s="553"/>
      <c r="AA29" s="535"/>
      <c r="AB29" s="534"/>
      <c r="AC29" s="533"/>
      <c r="AD29" s="536"/>
      <c r="AE29" s="533"/>
      <c r="AF29" s="64">
        <v>15</v>
      </c>
      <c r="AG29" s="7">
        <v>6</v>
      </c>
      <c r="AH29" s="7">
        <f t="shared" si="5"/>
        <v>9</v>
      </c>
    </row>
    <row r="30" spans="1:34">
      <c r="A30" s="550"/>
      <c r="B30" s="44" t="s">
        <v>95</v>
      </c>
      <c r="C30" s="44">
        <v>210</v>
      </c>
      <c r="D30" s="44">
        <v>4.0999999999999996</v>
      </c>
      <c r="E30" s="1">
        <v>190</v>
      </c>
      <c r="F30" s="50">
        <f t="shared" si="0"/>
        <v>163589.99999999997</v>
      </c>
      <c r="G30" s="553"/>
      <c r="H30" s="535"/>
      <c r="I30" s="534"/>
      <c r="J30" s="533"/>
      <c r="K30" s="543"/>
      <c r="L30" s="533"/>
      <c r="M30" s="64">
        <v>19</v>
      </c>
      <c r="N30" s="7">
        <v>7</v>
      </c>
      <c r="O30" s="7">
        <f t="shared" si="1"/>
        <v>12</v>
      </c>
      <c r="P30">
        <f t="shared" si="2"/>
        <v>0</v>
      </c>
      <c r="S30">
        <f t="shared" si="3"/>
        <v>-210</v>
      </c>
      <c r="T30" s="550"/>
      <c r="U30" s="44" t="s">
        <v>95</v>
      </c>
      <c r="V30" s="44">
        <v>332</v>
      </c>
      <c r="W30" s="44">
        <v>4.0999999999999996</v>
      </c>
      <c r="X30" s="1">
        <v>190</v>
      </c>
      <c r="Y30" s="50">
        <f t="shared" si="6"/>
        <v>258627.99999999997</v>
      </c>
      <c r="Z30" s="553"/>
      <c r="AA30" s="535"/>
      <c r="AB30" s="534"/>
      <c r="AC30" s="533"/>
      <c r="AD30" s="536"/>
      <c r="AE30" s="533"/>
      <c r="AF30" s="64">
        <v>19</v>
      </c>
      <c r="AG30" s="7">
        <v>7</v>
      </c>
      <c r="AH30" s="7">
        <f t="shared" si="5"/>
        <v>12</v>
      </c>
    </row>
    <row r="31" spans="1:34">
      <c r="A31" s="550"/>
      <c r="B31" s="44" t="s">
        <v>102</v>
      </c>
      <c r="C31" s="44">
        <v>150</v>
      </c>
      <c r="D31" s="44">
        <v>4.0999999999999996</v>
      </c>
      <c r="E31" s="1">
        <v>190</v>
      </c>
      <c r="F31" s="50">
        <f t="shared" si="0"/>
        <v>116850</v>
      </c>
      <c r="G31" s="553"/>
      <c r="H31" s="535"/>
      <c r="I31" s="534"/>
      <c r="J31" s="533"/>
      <c r="K31" s="543"/>
      <c r="L31" s="533"/>
      <c r="M31" s="64">
        <v>12</v>
      </c>
      <c r="N31" s="7">
        <v>5</v>
      </c>
      <c r="O31" s="7">
        <f t="shared" si="1"/>
        <v>7</v>
      </c>
      <c r="P31">
        <f t="shared" si="2"/>
        <v>0</v>
      </c>
      <c r="S31">
        <f t="shared" si="3"/>
        <v>-150</v>
      </c>
      <c r="T31" s="550"/>
      <c r="U31" s="44" t="s">
        <v>102</v>
      </c>
      <c r="V31" s="44">
        <v>208</v>
      </c>
      <c r="W31" s="44">
        <v>4.0999999999999996</v>
      </c>
      <c r="X31" s="1">
        <v>190</v>
      </c>
      <c r="Y31" s="50">
        <f t="shared" si="6"/>
        <v>162032</v>
      </c>
      <c r="Z31" s="553"/>
      <c r="AA31" s="535"/>
      <c r="AB31" s="534"/>
      <c r="AC31" s="533"/>
      <c r="AD31" s="536"/>
      <c r="AE31" s="533"/>
      <c r="AF31" s="64">
        <v>12</v>
      </c>
      <c r="AG31" s="7">
        <v>5</v>
      </c>
      <c r="AH31" s="7">
        <f t="shared" si="5"/>
        <v>7</v>
      </c>
    </row>
    <row r="32" spans="1:34">
      <c r="A32" s="550"/>
      <c r="B32" s="44" t="s">
        <v>96</v>
      </c>
      <c r="C32" s="44">
        <v>150</v>
      </c>
      <c r="D32" s="44">
        <v>3.55</v>
      </c>
      <c r="E32" s="1">
        <v>190</v>
      </c>
      <c r="F32" s="50">
        <f t="shared" si="0"/>
        <v>101175</v>
      </c>
      <c r="G32" s="554"/>
      <c r="H32" s="530"/>
      <c r="I32" s="528"/>
      <c r="J32" s="526"/>
      <c r="K32" s="544"/>
      <c r="L32" s="526"/>
      <c r="M32" s="64">
        <v>12</v>
      </c>
      <c r="N32" s="7">
        <v>5</v>
      </c>
      <c r="O32" s="7">
        <f t="shared" si="1"/>
        <v>7</v>
      </c>
      <c r="P32">
        <f t="shared" si="2"/>
        <v>0</v>
      </c>
      <c r="S32">
        <f t="shared" si="3"/>
        <v>-150</v>
      </c>
      <c r="T32" s="550"/>
      <c r="U32" s="44" t="s">
        <v>96</v>
      </c>
      <c r="V32" s="44">
        <v>219</v>
      </c>
      <c r="W32" s="44">
        <v>3.55</v>
      </c>
      <c r="X32" s="1">
        <v>190</v>
      </c>
      <c r="Y32" s="50">
        <f t="shared" si="6"/>
        <v>147715.5</v>
      </c>
      <c r="Z32" s="554"/>
      <c r="AA32" s="530"/>
      <c r="AB32" s="528"/>
      <c r="AC32" s="526"/>
      <c r="AD32" s="532"/>
      <c r="AE32" s="526"/>
      <c r="AF32" s="64">
        <v>12</v>
      </c>
      <c r="AG32" s="7">
        <v>5</v>
      </c>
      <c r="AH32" s="7">
        <f t="shared" si="5"/>
        <v>7</v>
      </c>
    </row>
    <row r="33" spans="1:34">
      <c r="A33" s="550" t="s">
        <v>148</v>
      </c>
      <c r="B33" s="44" t="s">
        <v>94</v>
      </c>
      <c r="C33" s="44">
        <v>360</v>
      </c>
      <c r="D33" s="44">
        <v>4.0999999999999996</v>
      </c>
      <c r="E33" s="1">
        <v>190</v>
      </c>
      <c r="F33" s="50">
        <f t="shared" si="0"/>
        <v>280439.99999999994</v>
      </c>
      <c r="G33" s="552">
        <v>2000</v>
      </c>
      <c r="H33" s="529">
        <v>2480</v>
      </c>
      <c r="I33" s="527">
        <v>470</v>
      </c>
      <c r="J33" s="525">
        <f>G33/H33*SUM(C33:C37)*I33</f>
        <v>420725.80645161291</v>
      </c>
      <c r="K33" s="542">
        <f>J33+SUM(F33:F37)</f>
        <v>1269740.8064516129</v>
      </c>
      <c r="L33" s="525">
        <f>K33/SUM(C33:C37)</f>
        <v>1143.9106364428944</v>
      </c>
      <c r="M33" s="64">
        <v>28</v>
      </c>
      <c r="N33" s="7">
        <v>12</v>
      </c>
      <c r="O33" s="7">
        <f t="shared" si="1"/>
        <v>16</v>
      </c>
      <c r="P33">
        <f t="shared" si="2"/>
        <v>992</v>
      </c>
      <c r="S33">
        <f t="shared" si="3"/>
        <v>2120</v>
      </c>
      <c r="T33" s="550" t="s">
        <v>148</v>
      </c>
      <c r="U33" s="44" t="s">
        <v>94</v>
      </c>
      <c r="V33" s="44">
        <v>472</v>
      </c>
      <c r="W33" s="44">
        <v>4.0999999999999996</v>
      </c>
      <c r="X33" s="1">
        <v>190</v>
      </c>
      <c r="Y33" s="50">
        <f t="shared" si="6"/>
        <v>367687.99999999994</v>
      </c>
      <c r="Z33" s="552">
        <v>2000</v>
      </c>
      <c r="AA33" s="529">
        <v>2480</v>
      </c>
      <c r="AB33" s="527">
        <v>470</v>
      </c>
      <c r="AC33" s="525">
        <f>Z33/AA33*SUM(V33:V37)*AB33</f>
        <v>519274.19354838703</v>
      </c>
      <c r="AD33" s="531">
        <f>AC33+SUM(Y33:Y37)</f>
        <v>1570829.1935483869</v>
      </c>
      <c r="AE33" s="525">
        <f>AD33/SUM(V33:V37)</f>
        <v>1146.5906522251</v>
      </c>
      <c r="AF33" s="64">
        <v>28</v>
      </c>
      <c r="AG33" s="7">
        <v>12</v>
      </c>
      <c r="AH33" s="7">
        <f t="shared" si="5"/>
        <v>16</v>
      </c>
    </row>
    <row r="34" spans="1:34">
      <c r="A34" s="550"/>
      <c r="B34" s="44" t="s">
        <v>98</v>
      </c>
      <c r="C34" s="44">
        <v>270</v>
      </c>
      <c r="D34" s="44">
        <v>4.0999999999999996</v>
      </c>
      <c r="E34" s="1">
        <v>190</v>
      </c>
      <c r="F34" s="50">
        <f t="shared" si="0"/>
        <v>210330</v>
      </c>
      <c r="G34" s="553"/>
      <c r="H34" s="535"/>
      <c r="I34" s="534"/>
      <c r="J34" s="533"/>
      <c r="K34" s="543"/>
      <c r="L34" s="533"/>
      <c r="M34" s="64">
        <v>20</v>
      </c>
      <c r="N34" s="7">
        <v>9</v>
      </c>
      <c r="O34" s="7">
        <f t="shared" si="1"/>
        <v>11</v>
      </c>
      <c r="P34">
        <f t="shared" si="2"/>
        <v>0</v>
      </c>
      <c r="S34">
        <f t="shared" si="3"/>
        <v>-270</v>
      </c>
      <c r="T34" s="550"/>
      <c r="U34" s="44" t="s">
        <v>98</v>
      </c>
      <c r="V34" s="44">
        <v>331</v>
      </c>
      <c r="W34" s="44">
        <v>4.0999999999999996</v>
      </c>
      <c r="X34" s="1">
        <v>190</v>
      </c>
      <c r="Y34" s="50">
        <f t="shared" si="6"/>
        <v>257848.99999999997</v>
      </c>
      <c r="Z34" s="553"/>
      <c r="AA34" s="535"/>
      <c r="AB34" s="534"/>
      <c r="AC34" s="533"/>
      <c r="AD34" s="536"/>
      <c r="AE34" s="533"/>
      <c r="AF34" s="64">
        <v>20</v>
      </c>
      <c r="AG34" s="7">
        <v>9</v>
      </c>
      <c r="AH34" s="7">
        <f t="shared" si="5"/>
        <v>11</v>
      </c>
    </row>
    <row r="35" spans="1:34">
      <c r="A35" s="550"/>
      <c r="B35" s="44" t="s">
        <v>95</v>
      </c>
      <c r="C35" s="44">
        <v>210</v>
      </c>
      <c r="D35" s="44">
        <v>4.0999999999999996</v>
      </c>
      <c r="E35" s="1">
        <v>190</v>
      </c>
      <c r="F35" s="50">
        <f t="shared" si="0"/>
        <v>163589.99999999997</v>
      </c>
      <c r="G35" s="553"/>
      <c r="H35" s="535"/>
      <c r="I35" s="534"/>
      <c r="J35" s="533"/>
      <c r="K35" s="543"/>
      <c r="L35" s="533"/>
      <c r="M35" s="64">
        <v>15</v>
      </c>
      <c r="N35" s="7">
        <v>7</v>
      </c>
      <c r="O35" s="7">
        <f t="shared" si="1"/>
        <v>8</v>
      </c>
      <c r="P35">
        <f t="shared" si="2"/>
        <v>0</v>
      </c>
      <c r="S35">
        <f t="shared" si="3"/>
        <v>-210</v>
      </c>
      <c r="T35" s="550"/>
      <c r="U35" s="44" t="s">
        <v>95</v>
      </c>
      <c r="V35" s="44">
        <v>225</v>
      </c>
      <c r="W35" s="44">
        <v>4.0999999999999996</v>
      </c>
      <c r="X35" s="1">
        <v>190</v>
      </c>
      <c r="Y35" s="50">
        <f t="shared" si="6"/>
        <v>175274.99999999997</v>
      </c>
      <c r="Z35" s="553"/>
      <c r="AA35" s="535"/>
      <c r="AB35" s="534"/>
      <c r="AC35" s="533"/>
      <c r="AD35" s="536"/>
      <c r="AE35" s="533"/>
      <c r="AF35" s="64">
        <v>15</v>
      </c>
      <c r="AG35" s="7">
        <v>7</v>
      </c>
      <c r="AH35" s="7">
        <f t="shared" si="5"/>
        <v>8</v>
      </c>
    </row>
    <row r="36" spans="1:34">
      <c r="A36" s="550"/>
      <c r="B36" s="44" t="s">
        <v>96</v>
      </c>
      <c r="C36" s="44">
        <v>150</v>
      </c>
      <c r="D36" s="44">
        <v>3.55</v>
      </c>
      <c r="E36" s="1">
        <v>190</v>
      </c>
      <c r="F36" s="50">
        <f t="shared" si="0"/>
        <v>101175</v>
      </c>
      <c r="G36" s="553"/>
      <c r="H36" s="535"/>
      <c r="I36" s="534"/>
      <c r="J36" s="533"/>
      <c r="K36" s="543"/>
      <c r="L36" s="533"/>
      <c r="M36" s="64">
        <v>10</v>
      </c>
      <c r="N36" s="7">
        <v>5</v>
      </c>
      <c r="O36" s="7">
        <f t="shared" si="1"/>
        <v>5</v>
      </c>
      <c r="P36">
        <f t="shared" si="2"/>
        <v>0</v>
      </c>
      <c r="S36">
        <f t="shared" si="3"/>
        <v>-150</v>
      </c>
      <c r="T36" s="550"/>
      <c r="U36" s="44" t="s">
        <v>96</v>
      </c>
      <c r="V36" s="44">
        <v>150</v>
      </c>
      <c r="W36" s="44">
        <v>3.55</v>
      </c>
      <c r="X36" s="1">
        <v>190</v>
      </c>
      <c r="Y36" s="50">
        <f t="shared" si="6"/>
        <v>101175</v>
      </c>
      <c r="Z36" s="553"/>
      <c r="AA36" s="535"/>
      <c r="AB36" s="534"/>
      <c r="AC36" s="533"/>
      <c r="AD36" s="536"/>
      <c r="AE36" s="533"/>
      <c r="AF36" s="64">
        <v>10</v>
      </c>
      <c r="AG36" s="7">
        <v>5</v>
      </c>
      <c r="AH36" s="7">
        <f t="shared" si="5"/>
        <v>5</v>
      </c>
    </row>
    <row r="37" spans="1:34">
      <c r="A37" s="550"/>
      <c r="B37" s="44" t="s">
        <v>102</v>
      </c>
      <c r="C37" s="44">
        <v>120</v>
      </c>
      <c r="D37" s="44">
        <v>4.0999999999999996</v>
      </c>
      <c r="E37" s="1">
        <v>190</v>
      </c>
      <c r="F37" s="50">
        <f t="shared" si="0"/>
        <v>93479.999999999985</v>
      </c>
      <c r="G37" s="554"/>
      <c r="H37" s="530"/>
      <c r="I37" s="528"/>
      <c r="J37" s="526"/>
      <c r="K37" s="544"/>
      <c r="L37" s="526"/>
      <c r="M37" s="64">
        <v>11</v>
      </c>
      <c r="N37" s="7">
        <v>4</v>
      </c>
      <c r="O37" s="7">
        <f t="shared" si="1"/>
        <v>7</v>
      </c>
      <c r="P37">
        <f t="shared" si="2"/>
        <v>0</v>
      </c>
      <c r="S37">
        <f t="shared" si="3"/>
        <v>-120</v>
      </c>
      <c r="T37" s="550"/>
      <c r="U37" s="44" t="s">
        <v>102</v>
      </c>
      <c r="V37" s="44">
        <v>192</v>
      </c>
      <c r="W37" s="44">
        <v>4.0999999999999996</v>
      </c>
      <c r="X37" s="1">
        <v>190</v>
      </c>
      <c r="Y37" s="50">
        <f t="shared" si="6"/>
        <v>149568</v>
      </c>
      <c r="Z37" s="554"/>
      <c r="AA37" s="530"/>
      <c r="AB37" s="528"/>
      <c r="AC37" s="526"/>
      <c r="AD37" s="532"/>
      <c r="AE37" s="526"/>
      <c r="AF37" s="64">
        <v>11</v>
      </c>
      <c r="AG37" s="7">
        <v>4</v>
      </c>
      <c r="AH37" s="7">
        <f t="shared" si="5"/>
        <v>7</v>
      </c>
    </row>
    <row r="38" spans="1:34">
      <c r="A38" s="44" t="s">
        <v>113</v>
      </c>
      <c r="B38" s="44" t="s">
        <v>94</v>
      </c>
      <c r="C38" s="44">
        <v>120</v>
      </c>
      <c r="D38" s="44">
        <v>4.0999999999999996</v>
      </c>
      <c r="E38" s="1">
        <v>190</v>
      </c>
      <c r="F38" s="50">
        <f t="shared" si="0"/>
        <v>93479.999999999985</v>
      </c>
      <c r="G38" s="54">
        <v>300</v>
      </c>
      <c r="H38" s="44">
        <v>414</v>
      </c>
      <c r="I38" s="82">
        <v>470</v>
      </c>
      <c r="J38" s="83">
        <f>G38/H38*C38*I38</f>
        <v>40869.565217391304</v>
      </c>
      <c r="K38" s="51">
        <f t="shared" si="7"/>
        <v>134349.5652173913</v>
      </c>
      <c r="L38" s="84">
        <f t="shared" ref="L38" si="10">K38/C38</f>
        <v>1119.5797101449275</v>
      </c>
      <c r="M38" s="64">
        <v>14</v>
      </c>
      <c r="N38" s="7">
        <v>4</v>
      </c>
      <c r="O38" s="7">
        <v>10</v>
      </c>
      <c r="P38">
        <f t="shared" si="2"/>
        <v>165.60000000000002</v>
      </c>
      <c r="S38">
        <f t="shared" si="3"/>
        <v>294</v>
      </c>
      <c r="T38" s="44" t="s">
        <v>113</v>
      </c>
      <c r="U38" s="44" t="s">
        <v>94</v>
      </c>
      <c r="V38" s="44">
        <v>294</v>
      </c>
      <c r="W38" s="44">
        <v>4.0999999999999996</v>
      </c>
      <c r="X38" s="1">
        <v>190</v>
      </c>
      <c r="Y38" s="50">
        <f t="shared" si="6"/>
        <v>229025.99999999997</v>
      </c>
      <c r="Z38" s="54">
        <v>300</v>
      </c>
      <c r="AA38" s="44">
        <v>414</v>
      </c>
      <c r="AB38" s="82">
        <v>470</v>
      </c>
      <c r="AC38" s="83">
        <f t="shared" ref="AC38" si="11">Z38/AA38*V38*AB38</f>
        <v>100130.43478260869</v>
      </c>
      <c r="AD38" s="85">
        <f t="shared" ref="AD38" si="12">AC38+Y38</f>
        <v>329156.43478260865</v>
      </c>
      <c r="AE38" s="84">
        <f>AD38/V38</f>
        <v>1119.5797101449273</v>
      </c>
      <c r="AF38" s="64">
        <v>14</v>
      </c>
      <c r="AG38" s="7">
        <v>4</v>
      </c>
      <c r="AH38" s="7">
        <v>10</v>
      </c>
    </row>
    <row r="39" spans="1:34">
      <c r="A39" s="70" t="s">
        <v>149</v>
      </c>
      <c r="B39" s="70"/>
      <c r="C39" s="69">
        <f>SUM(C3:C38)</f>
        <v>12108</v>
      </c>
      <c r="D39" s="71"/>
      <c r="E39" s="1"/>
      <c r="F39" s="27">
        <f>SUM(F3:F38)</f>
        <v>5129171.5999999996</v>
      </c>
      <c r="G39" s="27">
        <f>SUM(G3:G38)</f>
        <v>14310</v>
      </c>
      <c r="H39" s="2">
        <f>SUM(H3:H38)</f>
        <v>27381.5</v>
      </c>
      <c r="I39" s="1"/>
      <c r="J39" s="27">
        <f>SUM(J3:J38)</f>
        <v>2967486.5652470049</v>
      </c>
      <c r="K39" s="76">
        <f>J39+F39</f>
        <v>8096658.1652470045</v>
      </c>
      <c r="L39" s="82"/>
      <c r="M39" s="1">
        <f>SUM(M3:M38)</f>
        <v>900</v>
      </c>
      <c r="N39" s="7">
        <f>SUM(N3:N38)</f>
        <v>396</v>
      </c>
      <c r="O39" s="7">
        <f>SUM(O3:O38)</f>
        <v>504</v>
      </c>
      <c r="T39" s="70" t="s">
        <v>149</v>
      </c>
      <c r="U39" s="70"/>
      <c r="V39" s="78">
        <f>SUM(V3:V38)</f>
        <v>15273.5</v>
      </c>
      <c r="W39" s="71"/>
      <c r="X39" s="1"/>
      <c r="Y39" s="27">
        <f>SUM(Y3:Y38)</f>
        <v>6458895.1500000004</v>
      </c>
      <c r="Z39" s="27">
        <f>SUM(Z3:Z38)</f>
        <v>14310</v>
      </c>
      <c r="AA39" s="2">
        <f>SUM(AA3:AA38)</f>
        <v>27381.5</v>
      </c>
      <c r="AB39" s="1"/>
      <c r="AC39" s="27">
        <f>SUM(AC3:AC38)</f>
        <v>3758213.4347529947</v>
      </c>
      <c r="AD39" s="76">
        <f>AC39+Y39</f>
        <v>10217108.584752996</v>
      </c>
      <c r="AE39" s="82"/>
      <c r="AF39" s="1">
        <f>SUM(AF3:AF38)</f>
        <v>900</v>
      </c>
      <c r="AG39" s="7">
        <f>SUM(AG3:AG38)</f>
        <v>396</v>
      </c>
      <c r="AH39" s="7">
        <f>SUM(AH3:AH38)</f>
        <v>504</v>
      </c>
    </row>
    <row r="40" spans="1:34">
      <c r="I40" s="558" t="s">
        <v>156</v>
      </c>
      <c r="J40" s="558"/>
      <c r="K40" s="51">
        <f>K39*1%</f>
        <v>80966.581652470049</v>
      </c>
      <c r="V40" s="81"/>
      <c r="AB40" s="558" t="s">
        <v>156</v>
      </c>
      <c r="AC40" s="558"/>
      <c r="AD40" s="51">
        <f>AD39*1%</f>
        <v>102171.08584752996</v>
      </c>
    </row>
    <row r="43" spans="1:34">
      <c r="J43" s="86"/>
    </row>
    <row r="44" spans="1:34" ht="26.25">
      <c r="A44" s="574" t="s">
        <v>153</v>
      </c>
      <c r="B44" s="574"/>
      <c r="C44" s="574"/>
      <c r="D44" s="574"/>
      <c r="E44" s="574"/>
      <c r="F44" s="574"/>
      <c r="J44" s="86"/>
    </row>
    <row r="45" spans="1:34" ht="32.25">
      <c r="A45" s="67" t="s">
        <v>0</v>
      </c>
      <c r="B45" s="67" t="s">
        <v>140</v>
      </c>
      <c r="C45" s="75" t="s">
        <v>154</v>
      </c>
      <c r="D45" s="72" t="s">
        <v>125</v>
      </c>
      <c r="E45" s="75" t="s">
        <v>124</v>
      </c>
      <c r="F45" s="68" t="s">
        <v>130</v>
      </c>
    </row>
    <row r="46" spans="1:34" ht="15.75">
      <c r="A46" s="570" t="s">
        <v>143</v>
      </c>
      <c r="B46" s="69" t="s">
        <v>94</v>
      </c>
      <c r="C46" s="69">
        <v>1695</v>
      </c>
      <c r="D46" s="73">
        <v>57</v>
      </c>
      <c r="E46" s="74">
        <v>25</v>
      </c>
      <c r="F46" s="74">
        <f>D46-E46</f>
        <v>32</v>
      </c>
    </row>
    <row r="47" spans="1:34" ht="15.75">
      <c r="A47" s="570"/>
      <c r="B47" s="69" t="s">
        <v>95</v>
      </c>
      <c r="C47" s="69">
        <v>659.5</v>
      </c>
      <c r="D47" s="73">
        <v>22</v>
      </c>
      <c r="E47" s="74">
        <v>10</v>
      </c>
      <c r="F47" s="74">
        <f t="shared" ref="F47:F81" si="13">D47-E47</f>
        <v>12</v>
      </c>
    </row>
    <row r="48" spans="1:34" ht="15.75">
      <c r="A48" s="570"/>
      <c r="B48" s="69" t="s">
        <v>96</v>
      </c>
      <c r="C48" s="69">
        <v>683.5</v>
      </c>
      <c r="D48" s="73">
        <v>23</v>
      </c>
      <c r="E48" s="74">
        <v>10</v>
      </c>
      <c r="F48" s="74">
        <f t="shared" si="13"/>
        <v>13</v>
      </c>
    </row>
    <row r="49" spans="1:6" ht="15.75">
      <c r="A49" s="570"/>
      <c r="B49" s="69" t="s">
        <v>102</v>
      </c>
      <c r="C49" s="69">
        <v>717.5</v>
      </c>
      <c r="D49" s="73">
        <v>24</v>
      </c>
      <c r="E49" s="74">
        <v>11</v>
      </c>
      <c r="F49" s="74">
        <f t="shared" si="13"/>
        <v>13</v>
      </c>
    </row>
    <row r="50" spans="1:6" ht="15.75">
      <c r="A50" s="570" t="s">
        <v>144</v>
      </c>
      <c r="B50" s="69" t="s">
        <v>101</v>
      </c>
      <c r="C50" s="44">
        <v>443</v>
      </c>
      <c r="D50" s="73">
        <v>15</v>
      </c>
      <c r="E50" s="74">
        <v>8</v>
      </c>
      <c r="F50" s="74">
        <f t="shared" si="13"/>
        <v>7</v>
      </c>
    </row>
    <row r="51" spans="1:6" ht="15.75">
      <c r="A51" s="570"/>
      <c r="B51" s="69" t="s">
        <v>95</v>
      </c>
      <c r="C51" s="44">
        <v>307</v>
      </c>
      <c r="D51" s="73">
        <v>10</v>
      </c>
      <c r="E51" s="74">
        <v>6</v>
      </c>
      <c r="F51" s="74">
        <f t="shared" si="13"/>
        <v>4</v>
      </c>
    </row>
    <row r="52" spans="1:6" ht="15.75">
      <c r="A52" s="570"/>
      <c r="B52" s="69" t="s">
        <v>97</v>
      </c>
      <c r="C52" s="44">
        <v>318</v>
      </c>
      <c r="D52" s="73">
        <v>10</v>
      </c>
      <c r="E52" s="74">
        <v>6</v>
      </c>
      <c r="F52" s="74">
        <f t="shared" si="13"/>
        <v>4</v>
      </c>
    </row>
    <row r="53" spans="1:6" ht="15.75">
      <c r="A53" s="570"/>
      <c r="B53" s="69" t="s">
        <v>150</v>
      </c>
      <c r="C53" s="44">
        <v>313</v>
      </c>
      <c r="D53" s="73">
        <v>10</v>
      </c>
      <c r="E53" s="74">
        <v>6</v>
      </c>
      <c r="F53" s="74">
        <f t="shared" si="13"/>
        <v>4</v>
      </c>
    </row>
    <row r="54" spans="1:6" ht="15.75">
      <c r="A54" s="570"/>
      <c r="B54" s="69" t="s">
        <v>110</v>
      </c>
      <c r="C54" s="44">
        <v>415</v>
      </c>
      <c r="D54" s="73">
        <v>14</v>
      </c>
      <c r="E54" s="74">
        <v>8</v>
      </c>
      <c r="F54" s="74">
        <f t="shared" si="13"/>
        <v>6</v>
      </c>
    </row>
    <row r="55" spans="1:6" ht="15.75">
      <c r="A55" s="570"/>
      <c r="B55" s="69" t="s">
        <v>151</v>
      </c>
      <c r="C55" s="44">
        <v>216</v>
      </c>
      <c r="D55" s="73">
        <v>7</v>
      </c>
      <c r="E55" s="74">
        <v>4</v>
      </c>
      <c r="F55" s="74">
        <f t="shared" si="13"/>
        <v>3</v>
      </c>
    </row>
    <row r="56" spans="1:6" ht="15.75">
      <c r="A56" s="570" t="s">
        <v>145</v>
      </c>
      <c r="B56" s="69" t="s">
        <v>101</v>
      </c>
      <c r="C56" s="44">
        <v>1770</v>
      </c>
      <c r="D56" s="73">
        <v>59</v>
      </c>
      <c r="E56" s="74">
        <v>27</v>
      </c>
      <c r="F56" s="74">
        <f t="shared" si="13"/>
        <v>32</v>
      </c>
    </row>
    <row r="57" spans="1:6" ht="15.75">
      <c r="A57" s="570"/>
      <c r="B57" s="69" t="s">
        <v>94</v>
      </c>
      <c r="C57" s="44">
        <v>1371</v>
      </c>
      <c r="D57" s="73">
        <v>46</v>
      </c>
      <c r="E57" s="74">
        <v>20</v>
      </c>
      <c r="F57" s="74">
        <f t="shared" si="13"/>
        <v>26</v>
      </c>
    </row>
    <row r="58" spans="1:6" ht="15.75">
      <c r="A58" s="570"/>
      <c r="B58" s="69" t="s">
        <v>96</v>
      </c>
      <c r="C58" s="44">
        <v>727</v>
      </c>
      <c r="D58" s="73">
        <v>24</v>
      </c>
      <c r="E58" s="74">
        <v>10</v>
      </c>
      <c r="F58" s="74">
        <f t="shared" si="13"/>
        <v>14</v>
      </c>
    </row>
    <row r="59" spans="1:6" ht="15.75">
      <c r="A59" s="570"/>
      <c r="B59" s="69" t="s">
        <v>95</v>
      </c>
      <c r="C59" s="44">
        <v>405</v>
      </c>
      <c r="D59" s="73">
        <v>13</v>
      </c>
      <c r="E59" s="74">
        <v>6</v>
      </c>
      <c r="F59" s="74">
        <f t="shared" si="13"/>
        <v>7</v>
      </c>
    </row>
    <row r="60" spans="1:6" ht="15.75">
      <c r="A60" s="570"/>
      <c r="B60" s="69" t="s">
        <v>100</v>
      </c>
      <c r="C60" s="44">
        <v>535</v>
      </c>
      <c r="D60" s="73">
        <v>18</v>
      </c>
      <c r="E60" s="74">
        <v>8</v>
      </c>
      <c r="F60" s="74">
        <f t="shared" si="13"/>
        <v>10</v>
      </c>
    </row>
    <row r="61" spans="1:6" ht="15.75">
      <c r="A61" s="550" t="s">
        <v>134</v>
      </c>
      <c r="B61" s="69" t="s">
        <v>94</v>
      </c>
      <c r="C61" s="69">
        <v>2543</v>
      </c>
      <c r="D61" s="73">
        <v>85</v>
      </c>
      <c r="E61" s="74">
        <v>40</v>
      </c>
      <c r="F61" s="74">
        <f t="shared" si="13"/>
        <v>45</v>
      </c>
    </row>
    <row r="62" spans="1:6" ht="15.75">
      <c r="A62" s="550"/>
      <c r="B62" s="69" t="s">
        <v>98</v>
      </c>
      <c r="C62" s="69">
        <v>1009</v>
      </c>
      <c r="D62" s="73">
        <v>34</v>
      </c>
      <c r="E62" s="74">
        <v>10</v>
      </c>
      <c r="F62" s="74">
        <f t="shared" si="13"/>
        <v>24</v>
      </c>
    </row>
    <row r="63" spans="1:6" ht="15.75">
      <c r="A63" s="550" t="s">
        <v>105</v>
      </c>
      <c r="B63" s="44" t="s">
        <v>94</v>
      </c>
      <c r="C63" s="44">
        <v>750</v>
      </c>
      <c r="D63" s="73">
        <v>25</v>
      </c>
      <c r="E63" s="74">
        <v>10</v>
      </c>
      <c r="F63" s="74">
        <f t="shared" si="13"/>
        <v>15</v>
      </c>
    </row>
    <row r="64" spans="1:6" ht="15.75">
      <c r="A64" s="550"/>
      <c r="B64" s="44" t="s">
        <v>99</v>
      </c>
      <c r="C64" s="44">
        <v>330</v>
      </c>
      <c r="D64" s="73">
        <v>11</v>
      </c>
      <c r="E64" s="74">
        <v>4</v>
      </c>
      <c r="F64" s="74">
        <f t="shared" si="13"/>
        <v>7</v>
      </c>
    </row>
    <row r="65" spans="1:6" ht="15.75">
      <c r="A65" s="573" t="s">
        <v>146</v>
      </c>
      <c r="B65" s="70" t="s">
        <v>152</v>
      </c>
      <c r="C65" s="69">
        <v>1401</v>
      </c>
      <c r="D65" s="73">
        <v>48</v>
      </c>
      <c r="E65" s="74">
        <v>22</v>
      </c>
      <c r="F65" s="74">
        <f t="shared" si="13"/>
        <v>26</v>
      </c>
    </row>
    <row r="66" spans="1:6" ht="15.75">
      <c r="A66" s="573"/>
      <c r="B66" s="70" t="s">
        <v>98</v>
      </c>
      <c r="C66" s="69">
        <v>1308</v>
      </c>
      <c r="D66" s="73">
        <v>43</v>
      </c>
      <c r="E66" s="74">
        <v>20</v>
      </c>
      <c r="F66" s="74">
        <f t="shared" si="13"/>
        <v>23</v>
      </c>
    </row>
    <row r="67" spans="1:6" ht="15.75">
      <c r="A67" s="573"/>
      <c r="B67" s="70" t="s">
        <v>95</v>
      </c>
      <c r="C67" s="69">
        <v>1310</v>
      </c>
      <c r="D67" s="73">
        <v>44</v>
      </c>
      <c r="E67" s="74">
        <v>18</v>
      </c>
      <c r="F67" s="74">
        <f t="shared" si="13"/>
        <v>26</v>
      </c>
    </row>
    <row r="68" spans="1:6" ht="15.75">
      <c r="A68" s="573"/>
      <c r="B68" s="70" t="s">
        <v>96</v>
      </c>
      <c r="C68" s="69">
        <v>681</v>
      </c>
      <c r="D68" s="73">
        <v>23</v>
      </c>
      <c r="E68" s="74">
        <v>11</v>
      </c>
      <c r="F68" s="74">
        <f t="shared" si="13"/>
        <v>12</v>
      </c>
    </row>
    <row r="69" spans="1:6" ht="15.75">
      <c r="A69" s="573"/>
      <c r="B69" s="70" t="s">
        <v>102</v>
      </c>
      <c r="C69" s="69">
        <v>468</v>
      </c>
      <c r="D69" s="73">
        <v>16</v>
      </c>
      <c r="E69" s="74">
        <v>7</v>
      </c>
      <c r="F69" s="74">
        <f t="shared" si="13"/>
        <v>9</v>
      </c>
    </row>
    <row r="70" spans="1:6" ht="15.75">
      <c r="A70" s="44" t="s">
        <v>46</v>
      </c>
      <c r="B70" s="44" t="s">
        <v>100</v>
      </c>
      <c r="C70" s="44">
        <v>1348</v>
      </c>
      <c r="D70" s="73">
        <v>27</v>
      </c>
      <c r="E70" s="74">
        <v>11</v>
      </c>
      <c r="F70" s="74">
        <f t="shared" si="13"/>
        <v>16</v>
      </c>
    </row>
    <row r="71" spans="1:6" ht="15.75">
      <c r="A71" s="550" t="s">
        <v>147</v>
      </c>
      <c r="B71" s="44" t="s">
        <v>94</v>
      </c>
      <c r="C71" s="44">
        <v>1061</v>
      </c>
      <c r="D71" s="73">
        <v>36</v>
      </c>
      <c r="E71" s="74">
        <v>14</v>
      </c>
      <c r="F71" s="74">
        <f t="shared" si="13"/>
        <v>22</v>
      </c>
    </row>
    <row r="72" spans="1:6" ht="15.75">
      <c r="A72" s="550"/>
      <c r="B72" s="44" t="s">
        <v>98</v>
      </c>
      <c r="C72" s="44">
        <v>434</v>
      </c>
      <c r="D72" s="73">
        <v>15</v>
      </c>
      <c r="E72" s="74">
        <v>6</v>
      </c>
      <c r="F72" s="74">
        <f t="shared" si="13"/>
        <v>9</v>
      </c>
    </row>
    <row r="73" spans="1:6" ht="15.75">
      <c r="A73" s="550"/>
      <c r="B73" s="44" t="s">
        <v>95</v>
      </c>
      <c r="C73" s="44">
        <v>542</v>
      </c>
      <c r="D73" s="73">
        <v>19</v>
      </c>
      <c r="E73" s="74">
        <v>7</v>
      </c>
      <c r="F73" s="74">
        <f t="shared" si="13"/>
        <v>12</v>
      </c>
    </row>
    <row r="74" spans="1:6" ht="15.75">
      <c r="A74" s="550"/>
      <c r="B74" s="44" t="s">
        <v>102</v>
      </c>
      <c r="C74" s="44">
        <v>358</v>
      </c>
      <c r="D74" s="73">
        <v>12</v>
      </c>
      <c r="E74" s="74">
        <v>5</v>
      </c>
      <c r="F74" s="74">
        <f t="shared" si="13"/>
        <v>7</v>
      </c>
    </row>
    <row r="75" spans="1:6" ht="15.75">
      <c r="A75" s="550"/>
      <c r="B75" s="44" t="s">
        <v>96</v>
      </c>
      <c r="C75" s="44">
        <v>369</v>
      </c>
      <c r="D75" s="73">
        <v>12</v>
      </c>
      <c r="E75" s="74">
        <v>5</v>
      </c>
      <c r="F75" s="74">
        <f t="shared" si="13"/>
        <v>7</v>
      </c>
    </row>
    <row r="76" spans="1:6" ht="15.75">
      <c r="A76" s="550" t="s">
        <v>148</v>
      </c>
      <c r="B76" s="44" t="s">
        <v>94</v>
      </c>
      <c r="C76" s="44">
        <v>832</v>
      </c>
      <c r="D76" s="73">
        <v>28</v>
      </c>
      <c r="E76" s="74">
        <v>12</v>
      </c>
      <c r="F76" s="74">
        <f t="shared" si="13"/>
        <v>16</v>
      </c>
    </row>
    <row r="77" spans="1:6" ht="15.75">
      <c r="A77" s="550"/>
      <c r="B77" s="44" t="s">
        <v>98</v>
      </c>
      <c r="C77" s="44">
        <v>601</v>
      </c>
      <c r="D77" s="73">
        <v>20</v>
      </c>
      <c r="E77" s="74">
        <v>9</v>
      </c>
      <c r="F77" s="74">
        <f t="shared" si="13"/>
        <v>11</v>
      </c>
    </row>
    <row r="78" spans="1:6" ht="15.75">
      <c r="A78" s="550"/>
      <c r="B78" s="44" t="s">
        <v>95</v>
      </c>
      <c r="C78" s="44">
        <v>435</v>
      </c>
      <c r="D78" s="73">
        <v>15</v>
      </c>
      <c r="E78" s="74">
        <v>7</v>
      </c>
      <c r="F78" s="74">
        <f t="shared" si="13"/>
        <v>8</v>
      </c>
    </row>
    <row r="79" spans="1:6" ht="15.75">
      <c r="A79" s="550"/>
      <c r="B79" s="44" t="s">
        <v>96</v>
      </c>
      <c r="C79" s="44">
        <v>300</v>
      </c>
      <c r="D79" s="73">
        <v>10</v>
      </c>
      <c r="E79" s="74">
        <v>5</v>
      </c>
      <c r="F79" s="74">
        <f t="shared" si="13"/>
        <v>5</v>
      </c>
    </row>
    <row r="80" spans="1:6" ht="15.75">
      <c r="A80" s="550"/>
      <c r="B80" s="44" t="s">
        <v>102</v>
      </c>
      <c r="C80" s="44">
        <v>312</v>
      </c>
      <c r="D80" s="73">
        <v>11</v>
      </c>
      <c r="E80" s="74">
        <v>4</v>
      </c>
      <c r="F80" s="74">
        <f t="shared" si="13"/>
        <v>7</v>
      </c>
    </row>
    <row r="81" spans="1:6" ht="15.75">
      <c r="A81" s="44" t="s">
        <v>113</v>
      </c>
      <c r="B81" s="44" t="s">
        <v>94</v>
      </c>
      <c r="C81" s="44">
        <v>414</v>
      </c>
      <c r="D81" s="73">
        <v>14</v>
      </c>
      <c r="E81" s="74">
        <v>4</v>
      </c>
      <c r="F81" s="74">
        <f t="shared" si="13"/>
        <v>10</v>
      </c>
    </row>
    <row r="82" spans="1:6" ht="15.75">
      <c r="A82" s="70" t="s">
        <v>149</v>
      </c>
      <c r="B82" s="70"/>
      <c r="C82" s="69">
        <f>SUM(C46:C81)</f>
        <v>27381.5</v>
      </c>
      <c r="D82" s="68">
        <f>SUM(D46:D81)</f>
        <v>900</v>
      </c>
      <c r="E82" s="74">
        <f>SUM(E46:E81)</f>
        <v>396</v>
      </c>
      <c r="F82" s="74">
        <f>SUM(F46:F81)</f>
        <v>504</v>
      </c>
    </row>
  </sheetData>
  <mergeCells count="125">
    <mergeCell ref="AD28:AD32"/>
    <mergeCell ref="AE28:AE32"/>
    <mergeCell ref="Z33:Z37"/>
    <mergeCell ref="AA33:AA37"/>
    <mergeCell ref="AB33:AB37"/>
    <mergeCell ref="AC33:AC37"/>
    <mergeCell ref="AD33:AD37"/>
    <mergeCell ref="AE33:AE37"/>
    <mergeCell ref="AD20:AD21"/>
    <mergeCell ref="AE20:AE21"/>
    <mergeCell ref="Z22:Z26"/>
    <mergeCell ref="AA22:AA26"/>
    <mergeCell ref="AB22:AB26"/>
    <mergeCell ref="AC22:AC26"/>
    <mergeCell ref="AD22:AD26"/>
    <mergeCell ref="AE22:AE26"/>
    <mergeCell ref="AB28:AB32"/>
    <mergeCell ref="AC28:AC32"/>
    <mergeCell ref="AB13:AB17"/>
    <mergeCell ref="AC13:AC17"/>
    <mergeCell ref="AD13:AD17"/>
    <mergeCell ref="AE13:AE17"/>
    <mergeCell ref="Z18:Z19"/>
    <mergeCell ref="AA18:AA19"/>
    <mergeCell ref="AB18:AB19"/>
    <mergeCell ref="AC18:AC19"/>
    <mergeCell ref="AD18:AD19"/>
    <mergeCell ref="AE18:AE19"/>
    <mergeCell ref="AB3:AB6"/>
    <mergeCell ref="AC3:AC6"/>
    <mergeCell ref="AD3:AD6"/>
    <mergeCell ref="AE3:AE6"/>
    <mergeCell ref="Z7:Z12"/>
    <mergeCell ref="AA7:AA12"/>
    <mergeCell ref="AB7:AB12"/>
    <mergeCell ref="AC7:AC12"/>
    <mergeCell ref="AD7:AD12"/>
    <mergeCell ref="AE7:AE12"/>
    <mergeCell ref="L13:L17"/>
    <mergeCell ref="L7:L12"/>
    <mergeCell ref="L3:L6"/>
    <mergeCell ref="Z3:Z6"/>
    <mergeCell ref="AA3:AA6"/>
    <mergeCell ref="Z13:Z17"/>
    <mergeCell ref="AA13:AA17"/>
    <mergeCell ref="L33:L37"/>
    <mergeCell ref="L28:L32"/>
    <mergeCell ref="L22:L26"/>
    <mergeCell ref="L20:L21"/>
    <mergeCell ref="L18:L19"/>
    <mergeCell ref="Z28:Z32"/>
    <mergeCell ref="AA28:AA32"/>
    <mergeCell ref="H33:H37"/>
    <mergeCell ref="J28:J32"/>
    <mergeCell ref="J33:J37"/>
    <mergeCell ref="K3:K6"/>
    <mergeCell ref="K7:K12"/>
    <mergeCell ref="K13:K17"/>
    <mergeCell ref="K18:K19"/>
    <mergeCell ref="K20:K21"/>
    <mergeCell ref="K22:K26"/>
    <mergeCell ref="K28:K32"/>
    <mergeCell ref="K33:K37"/>
    <mergeCell ref="J7:J12"/>
    <mergeCell ref="J13:J17"/>
    <mergeCell ref="J18:J19"/>
    <mergeCell ref="J20:J21"/>
    <mergeCell ref="J22:J26"/>
    <mergeCell ref="A20:A21"/>
    <mergeCell ref="A22:A26"/>
    <mergeCell ref="A28:A32"/>
    <mergeCell ref="A33:A37"/>
    <mergeCell ref="A1:O1"/>
    <mergeCell ref="A3:A6"/>
    <mergeCell ref="A7:A12"/>
    <mergeCell ref="A13:A17"/>
    <mergeCell ref="A18:A19"/>
    <mergeCell ref="G3:G6"/>
    <mergeCell ref="G7:G12"/>
    <mergeCell ref="G13:G17"/>
    <mergeCell ref="G18:G19"/>
    <mergeCell ref="G20:G21"/>
    <mergeCell ref="G22:G26"/>
    <mergeCell ref="G28:G32"/>
    <mergeCell ref="G33:G37"/>
    <mergeCell ref="H3:H6"/>
    <mergeCell ref="H7:H12"/>
    <mergeCell ref="H13:H17"/>
    <mergeCell ref="H18:H19"/>
    <mergeCell ref="H20:H21"/>
    <mergeCell ref="H22:H26"/>
    <mergeCell ref="H28:H32"/>
    <mergeCell ref="A65:A69"/>
    <mergeCell ref="A71:A75"/>
    <mergeCell ref="A76:A80"/>
    <mergeCell ref="A44:F44"/>
    <mergeCell ref="A46:A49"/>
    <mergeCell ref="A50:A55"/>
    <mergeCell ref="A56:A60"/>
    <mergeCell ref="A61:A62"/>
    <mergeCell ref="A63:A64"/>
    <mergeCell ref="I40:J40"/>
    <mergeCell ref="T1:AH1"/>
    <mergeCell ref="T3:T6"/>
    <mergeCell ref="T7:T12"/>
    <mergeCell ref="T13:T17"/>
    <mergeCell ref="T18:T19"/>
    <mergeCell ref="I33:I37"/>
    <mergeCell ref="I28:I32"/>
    <mergeCell ref="I22:I26"/>
    <mergeCell ref="I20:I21"/>
    <mergeCell ref="I18:I19"/>
    <mergeCell ref="I13:I17"/>
    <mergeCell ref="I7:I12"/>
    <mergeCell ref="I3:I6"/>
    <mergeCell ref="J3:J6"/>
    <mergeCell ref="AB40:AC40"/>
    <mergeCell ref="T20:T21"/>
    <mergeCell ref="T22:T26"/>
    <mergeCell ref="T28:T32"/>
    <mergeCell ref="T33:T37"/>
    <mergeCell ref="Z20:Z21"/>
    <mergeCell ref="AA20:AA21"/>
    <mergeCell ref="AB20:AB21"/>
    <mergeCell ref="AC20:AC21"/>
  </mergeCells>
  <pageMargins left="0.56000000000000005" right="0.7" top="0.16" bottom="0.2" header="0.14000000000000001" footer="0.15"/>
  <pageSetup paperSize="9" scale="4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1"/>
  <sheetViews>
    <sheetView topLeftCell="A15" zoomScaleNormal="100" workbookViewId="0">
      <selection activeCell="J37" sqref="J37"/>
    </sheetView>
  </sheetViews>
  <sheetFormatPr defaultRowHeight="15"/>
  <cols>
    <col min="1" max="1" width="15.42578125" customWidth="1"/>
    <col min="2" max="2" width="12.85546875" customWidth="1"/>
    <col min="3" max="3" width="12.42578125" customWidth="1"/>
    <col min="4" max="4" width="8.7109375" customWidth="1"/>
    <col min="5" max="5" width="10.85546875" customWidth="1"/>
    <col min="6" max="6" width="12.42578125" customWidth="1"/>
    <col min="7" max="7" width="9.42578125" customWidth="1"/>
    <col min="8" max="8" width="11" customWidth="1"/>
    <col min="9" max="9" width="8.7109375" customWidth="1"/>
    <col min="10" max="10" width="12.28515625" customWidth="1"/>
    <col min="11" max="11" width="12.7109375" customWidth="1"/>
    <col min="12" max="12" width="10.5703125" customWidth="1"/>
    <col min="13" max="13" width="9.85546875" customWidth="1"/>
    <col min="14" max="14" width="8.85546875" bestFit="1" customWidth="1"/>
    <col min="15" max="15" width="9.42578125" bestFit="1" customWidth="1"/>
    <col min="21" max="21" width="21" customWidth="1"/>
    <col min="22" max="22" width="13.85546875" customWidth="1"/>
    <col min="23" max="23" width="10.5703125" customWidth="1"/>
    <col min="24" max="24" width="9.42578125" customWidth="1"/>
    <col min="25" max="25" width="10.28515625" customWidth="1"/>
    <col min="26" max="26" width="12.5703125" customWidth="1"/>
    <col min="27" max="27" width="11.42578125" customWidth="1"/>
    <col min="28" max="28" width="13" customWidth="1"/>
    <col min="29" max="29" width="10.28515625" customWidth="1"/>
    <col min="30" max="30" width="10.42578125" customWidth="1"/>
    <col min="31" max="31" width="11.28515625" customWidth="1"/>
  </cols>
  <sheetData>
    <row r="1" spans="1:35" ht="28.5">
      <c r="A1" s="580" t="s">
        <v>195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581"/>
      <c r="M1" s="581"/>
      <c r="N1" s="120"/>
      <c r="O1" s="121"/>
      <c r="U1" s="580" t="s">
        <v>196</v>
      </c>
      <c r="V1" s="581"/>
      <c r="W1" s="581"/>
      <c r="X1" s="581"/>
      <c r="Y1" s="581"/>
      <c r="Z1" s="581"/>
      <c r="AA1" s="581"/>
      <c r="AB1" s="581"/>
      <c r="AC1" s="581"/>
      <c r="AD1" s="581"/>
      <c r="AE1" s="581"/>
      <c r="AF1" s="581"/>
      <c r="AG1" s="581"/>
      <c r="AH1" s="120"/>
      <c r="AI1" s="121"/>
    </row>
    <row r="2" spans="1:35" ht="47.2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6" t="s">
        <v>126</v>
      </c>
      <c r="O2" s="106" t="s">
        <v>124</v>
      </c>
      <c r="U2" s="100" t="s">
        <v>0</v>
      </c>
      <c r="V2" s="100" t="s">
        <v>140</v>
      </c>
      <c r="W2" s="101" t="s">
        <v>123</v>
      </c>
      <c r="X2" s="101" t="s">
        <v>2</v>
      </c>
      <c r="Y2" s="101" t="s">
        <v>3</v>
      </c>
      <c r="Z2" s="102" t="s">
        <v>4</v>
      </c>
      <c r="AA2" s="103" t="s">
        <v>5</v>
      </c>
      <c r="AB2" s="103" t="s">
        <v>6</v>
      </c>
      <c r="AC2" s="103" t="s">
        <v>7</v>
      </c>
      <c r="AD2" s="101" t="s">
        <v>8</v>
      </c>
      <c r="AE2" s="104" t="s">
        <v>9</v>
      </c>
      <c r="AF2" s="103" t="s">
        <v>10</v>
      </c>
      <c r="AG2" s="105" t="s">
        <v>125</v>
      </c>
      <c r="AH2" s="128" t="s">
        <v>126</v>
      </c>
      <c r="AI2" s="128" t="s">
        <v>124</v>
      </c>
    </row>
    <row r="3" spans="1:35">
      <c r="A3" s="578" t="s">
        <v>157</v>
      </c>
      <c r="B3" s="111" t="s">
        <v>158</v>
      </c>
      <c r="C3" s="111">
        <f>30*O3</f>
        <v>420</v>
      </c>
      <c r="D3" s="111">
        <v>1.35</v>
      </c>
      <c r="E3" s="106">
        <v>207.3</v>
      </c>
      <c r="F3" s="107">
        <f>C3*D3*E3</f>
        <v>117539.1</v>
      </c>
      <c r="G3" s="583">
        <v>3600</v>
      </c>
      <c r="H3" s="583">
        <v>11445</v>
      </c>
      <c r="I3" s="590">
        <v>490</v>
      </c>
      <c r="J3" s="582">
        <f>G3/H3*SUM(C3:C11)*I3</f>
        <v>841541.28440366976</v>
      </c>
      <c r="K3" s="591">
        <f>J3+SUM(F3:F11)</f>
        <v>2369549.5844036695</v>
      </c>
      <c r="L3" s="582">
        <f>K3/SUM(C3:C11)</f>
        <v>433.98344036697245</v>
      </c>
      <c r="M3" s="113">
        <v>31</v>
      </c>
      <c r="N3" s="109">
        <v>17</v>
      </c>
      <c r="O3" s="109">
        <f>M3-N3</f>
        <v>14</v>
      </c>
      <c r="Q3" s="584" t="s">
        <v>157</v>
      </c>
      <c r="R3" s="94" t="s">
        <v>158</v>
      </c>
      <c r="S3" s="111">
        <v>950</v>
      </c>
      <c r="U3" s="578" t="s">
        <v>157</v>
      </c>
      <c r="V3" s="125" t="s">
        <v>158</v>
      </c>
      <c r="W3" s="125">
        <v>530</v>
      </c>
      <c r="X3" s="125">
        <v>1.35</v>
      </c>
      <c r="Y3" s="128">
        <v>207.3</v>
      </c>
      <c r="Z3" s="107">
        <f>W3*X3*Y3</f>
        <v>148323.15</v>
      </c>
      <c r="AA3" s="583">
        <v>3600</v>
      </c>
      <c r="AB3" s="583">
        <v>11445</v>
      </c>
      <c r="AC3" s="590">
        <v>490</v>
      </c>
      <c r="AD3" s="582">
        <f>AA3/AB3*SUM(W3:W11)*AC3</f>
        <v>922458.71559633035</v>
      </c>
      <c r="AE3" s="591">
        <f>AD3+SUM(Z3:Z11)</f>
        <v>2597390.8905963306</v>
      </c>
      <c r="AF3" s="582">
        <f>AE3/SUM(W3:W11)</f>
        <v>433.98344036697256</v>
      </c>
      <c r="AG3" s="113">
        <v>31</v>
      </c>
      <c r="AH3" s="127">
        <v>17</v>
      </c>
      <c r="AI3" s="127">
        <f>AG3-AH3</f>
        <v>14</v>
      </c>
    </row>
    <row r="4" spans="1:35">
      <c r="A4" s="578"/>
      <c r="B4" s="111" t="s">
        <v>159</v>
      </c>
      <c r="C4" s="111">
        <f t="shared" ref="C4:C35" si="0">30*O4</f>
        <v>450</v>
      </c>
      <c r="D4" s="111">
        <v>1.35</v>
      </c>
      <c r="E4" s="106">
        <v>207.3</v>
      </c>
      <c r="F4" s="107">
        <f t="shared" ref="F4:F36" si="1">C4*D4*E4</f>
        <v>125934.75</v>
      </c>
      <c r="G4" s="583"/>
      <c r="H4" s="583"/>
      <c r="I4" s="590"/>
      <c r="J4" s="582"/>
      <c r="K4" s="591"/>
      <c r="L4" s="582"/>
      <c r="M4" s="113">
        <v>33</v>
      </c>
      <c r="N4" s="109">
        <v>18</v>
      </c>
      <c r="O4" s="109">
        <f t="shared" ref="O4:O36" si="2">M4-N4</f>
        <v>15</v>
      </c>
      <c r="Q4" s="584"/>
      <c r="R4" s="94" t="s">
        <v>159</v>
      </c>
      <c r="S4" s="111">
        <v>983</v>
      </c>
      <c r="U4" s="578"/>
      <c r="V4" s="125" t="s">
        <v>159</v>
      </c>
      <c r="W4" s="125">
        <v>533</v>
      </c>
      <c r="X4" s="125">
        <v>1.35</v>
      </c>
      <c r="Y4" s="128">
        <v>207.3</v>
      </c>
      <c r="Z4" s="107">
        <f t="shared" ref="Z4:Z10" si="3">W4*X4*Y4</f>
        <v>149162.71500000003</v>
      </c>
      <c r="AA4" s="583"/>
      <c r="AB4" s="583"/>
      <c r="AC4" s="590"/>
      <c r="AD4" s="582"/>
      <c r="AE4" s="591"/>
      <c r="AF4" s="582"/>
      <c r="AG4" s="113">
        <v>33</v>
      </c>
      <c r="AH4" s="127">
        <v>18</v>
      </c>
      <c r="AI4" s="127">
        <f t="shared" ref="AI4:AI36" si="4">AG4-AH4</f>
        <v>15</v>
      </c>
    </row>
    <row r="5" spans="1:35">
      <c r="A5" s="578"/>
      <c r="B5" s="111" t="s">
        <v>150</v>
      </c>
      <c r="C5" s="111">
        <f t="shared" si="0"/>
        <v>660</v>
      </c>
      <c r="D5" s="111">
        <v>1.35</v>
      </c>
      <c r="E5" s="106">
        <v>207.3</v>
      </c>
      <c r="F5" s="107">
        <f t="shared" si="1"/>
        <v>184704.30000000005</v>
      </c>
      <c r="G5" s="583"/>
      <c r="H5" s="583"/>
      <c r="I5" s="590"/>
      <c r="J5" s="582"/>
      <c r="K5" s="591"/>
      <c r="L5" s="582"/>
      <c r="M5" s="113">
        <v>46</v>
      </c>
      <c r="N5" s="109">
        <v>24</v>
      </c>
      <c r="O5" s="109">
        <f t="shared" si="2"/>
        <v>22</v>
      </c>
      <c r="Q5" s="584"/>
      <c r="R5" s="94" t="s">
        <v>150</v>
      </c>
      <c r="S5" s="111">
        <v>1376</v>
      </c>
      <c r="U5" s="578"/>
      <c r="V5" s="125" t="s">
        <v>150</v>
      </c>
      <c r="W5" s="125">
        <v>716</v>
      </c>
      <c r="X5" s="125">
        <v>1.35</v>
      </c>
      <c r="Y5" s="128">
        <v>207.3</v>
      </c>
      <c r="Z5" s="107">
        <f t="shared" si="3"/>
        <v>200376.18000000002</v>
      </c>
      <c r="AA5" s="583"/>
      <c r="AB5" s="583"/>
      <c r="AC5" s="590"/>
      <c r="AD5" s="582"/>
      <c r="AE5" s="591"/>
      <c r="AF5" s="582"/>
      <c r="AG5" s="113">
        <v>46</v>
      </c>
      <c r="AH5" s="127">
        <v>24</v>
      </c>
      <c r="AI5" s="127">
        <f t="shared" si="4"/>
        <v>22</v>
      </c>
    </row>
    <row r="6" spans="1:35">
      <c r="A6" s="578"/>
      <c r="B6" s="111" t="s">
        <v>160</v>
      </c>
      <c r="C6" s="111">
        <f t="shared" si="0"/>
        <v>570</v>
      </c>
      <c r="D6" s="111">
        <v>1.35</v>
      </c>
      <c r="E6" s="106">
        <v>207.3</v>
      </c>
      <c r="F6" s="107">
        <f t="shared" si="1"/>
        <v>159517.35</v>
      </c>
      <c r="G6" s="583"/>
      <c r="H6" s="583"/>
      <c r="I6" s="590"/>
      <c r="J6" s="582"/>
      <c r="K6" s="591"/>
      <c r="L6" s="582"/>
      <c r="M6" s="113">
        <v>39</v>
      </c>
      <c r="N6" s="109">
        <v>20</v>
      </c>
      <c r="O6" s="109">
        <f t="shared" si="2"/>
        <v>19</v>
      </c>
      <c r="Q6" s="584"/>
      <c r="R6" s="94" t="s">
        <v>160</v>
      </c>
      <c r="S6" s="111">
        <v>1163</v>
      </c>
      <c r="U6" s="578"/>
      <c r="V6" s="125" t="s">
        <v>160</v>
      </c>
      <c r="W6" s="125">
        <v>593</v>
      </c>
      <c r="X6" s="125">
        <v>1.35</v>
      </c>
      <c r="Y6" s="128">
        <v>207.3</v>
      </c>
      <c r="Z6" s="107">
        <f t="shared" si="3"/>
        <v>165954.01500000001</v>
      </c>
      <c r="AA6" s="583"/>
      <c r="AB6" s="583"/>
      <c r="AC6" s="590"/>
      <c r="AD6" s="582"/>
      <c r="AE6" s="591"/>
      <c r="AF6" s="582"/>
      <c r="AG6" s="113">
        <v>39</v>
      </c>
      <c r="AH6" s="127">
        <v>20</v>
      </c>
      <c r="AI6" s="127">
        <f t="shared" si="4"/>
        <v>19</v>
      </c>
    </row>
    <row r="7" spans="1:35">
      <c r="A7" s="578"/>
      <c r="B7" s="111" t="s">
        <v>95</v>
      </c>
      <c r="C7" s="111">
        <f t="shared" si="0"/>
        <v>1020</v>
      </c>
      <c r="D7" s="111">
        <v>1.35</v>
      </c>
      <c r="E7" s="106">
        <v>207.3</v>
      </c>
      <c r="F7" s="107">
        <f t="shared" si="1"/>
        <v>285452.10000000003</v>
      </c>
      <c r="G7" s="583"/>
      <c r="H7" s="583"/>
      <c r="I7" s="590"/>
      <c r="J7" s="582"/>
      <c r="K7" s="591"/>
      <c r="L7" s="582"/>
      <c r="M7" s="113">
        <v>70</v>
      </c>
      <c r="N7" s="109">
        <v>36</v>
      </c>
      <c r="O7" s="109">
        <f t="shared" si="2"/>
        <v>34</v>
      </c>
      <c r="Q7" s="584"/>
      <c r="R7" s="94" t="s">
        <v>95</v>
      </c>
      <c r="S7" s="111">
        <v>2100</v>
      </c>
      <c r="U7" s="578"/>
      <c r="V7" s="125" t="s">
        <v>95</v>
      </c>
      <c r="W7" s="125">
        <v>1080</v>
      </c>
      <c r="X7" s="125">
        <v>1.35</v>
      </c>
      <c r="Y7" s="128">
        <v>207.3</v>
      </c>
      <c r="Z7" s="107">
        <f t="shared" si="3"/>
        <v>302243.40000000002</v>
      </c>
      <c r="AA7" s="583"/>
      <c r="AB7" s="583"/>
      <c r="AC7" s="590"/>
      <c r="AD7" s="582"/>
      <c r="AE7" s="591"/>
      <c r="AF7" s="582"/>
      <c r="AG7" s="113">
        <v>70</v>
      </c>
      <c r="AH7" s="127">
        <v>36</v>
      </c>
      <c r="AI7" s="127">
        <f t="shared" si="4"/>
        <v>34</v>
      </c>
    </row>
    <row r="8" spans="1:35">
      <c r="A8" s="578"/>
      <c r="B8" s="111" t="s">
        <v>110</v>
      </c>
      <c r="C8" s="111">
        <f t="shared" si="0"/>
        <v>480</v>
      </c>
      <c r="D8" s="111">
        <v>1.35</v>
      </c>
      <c r="E8" s="106">
        <v>207.3</v>
      </c>
      <c r="F8" s="107">
        <f t="shared" si="1"/>
        <v>134330.4</v>
      </c>
      <c r="G8" s="583"/>
      <c r="H8" s="583"/>
      <c r="I8" s="590"/>
      <c r="J8" s="582"/>
      <c r="K8" s="591"/>
      <c r="L8" s="582"/>
      <c r="M8" s="113">
        <v>33</v>
      </c>
      <c r="N8" s="109">
        <v>17</v>
      </c>
      <c r="O8" s="109">
        <f t="shared" si="2"/>
        <v>16</v>
      </c>
      <c r="Q8" s="584"/>
      <c r="R8" s="94" t="s">
        <v>110</v>
      </c>
      <c r="S8" s="111">
        <v>996</v>
      </c>
      <c r="U8" s="578"/>
      <c r="V8" s="125" t="s">
        <v>110</v>
      </c>
      <c r="W8" s="125">
        <v>516</v>
      </c>
      <c r="X8" s="125">
        <v>1.35</v>
      </c>
      <c r="Y8" s="128">
        <v>207.3</v>
      </c>
      <c r="Z8" s="107">
        <f t="shared" si="3"/>
        <v>144405.18000000002</v>
      </c>
      <c r="AA8" s="583"/>
      <c r="AB8" s="583"/>
      <c r="AC8" s="590"/>
      <c r="AD8" s="582"/>
      <c r="AE8" s="591"/>
      <c r="AF8" s="582"/>
      <c r="AG8" s="113">
        <v>33</v>
      </c>
      <c r="AH8" s="127">
        <v>17</v>
      </c>
      <c r="AI8" s="127">
        <f t="shared" si="4"/>
        <v>16</v>
      </c>
    </row>
    <row r="9" spans="1:35">
      <c r="A9" s="578"/>
      <c r="B9" s="111" t="s">
        <v>161</v>
      </c>
      <c r="C9" s="111">
        <f t="shared" si="0"/>
        <v>900</v>
      </c>
      <c r="D9" s="111">
        <v>1.35</v>
      </c>
      <c r="E9" s="106">
        <v>207.3</v>
      </c>
      <c r="F9" s="107">
        <f t="shared" si="1"/>
        <v>251869.5</v>
      </c>
      <c r="G9" s="583"/>
      <c r="H9" s="583"/>
      <c r="I9" s="590"/>
      <c r="J9" s="582"/>
      <c r="K9" s="591"/>
      <c r="L9" s="582"/>
      <c r="M9" s="113">
        <v>61</v>
      </c>
      <c r="N9" s="109">
        <v>31</v>
      </c>
      <c r="O9" s="109">
        <f t="shared" si="2"/>
        <v>30</v>
      </c>
      <c r="Q9" s="584"/>
      <c r="R9" s="94" t="s">
        <v>161</v>
      </c>
      <c r="S9" s="111">
        <v>1842</v>
      </c>
      <c r="U9" s="578"/>
      <c r="V9" s="125" t="s">
        <v>161</v>
      </c>
      <c r="W9" s="125">
        <v>942</v>
      </c>
      <c r="X9" s="125">
        <v>1.35</v>
      </c>
      <c r="Y9" s="128">
        <v>207.3</v>
      </c>
      <c r="Z9" s="107">
        <f t="shared" si="3"/>
        <v>263623.41000000003</v>
      </c>
      <c r="AA9" s="583"/>
      <c r="AB9" s="583"/>
      <c r="AC9" s="590"/>
      <c r="AD9" s="582"/>
      <c r="AE9" s="591"/>
      <c r="AF9" s="582"/>
      <c r="AG9" s="113">
        <v>61</v>
      </c>
      <c r="AH9" s="127">
        <v>31</v>
      </c>
      <c r="AI9" s="127">
        <f t="shared" si="4"/>
        <v>30</v>
      </c>
    </row>
    <row r="10" spans="1:35">
      <c r="A10" s="578"/>
      <c r="B10" s="111" t="s">
        <v>162</v>
      </c>
      <c r="C10" s="111">
        <f t="shared" si="0"/>
        <v>480</v>
      </c>
      <c r="D10" s="111">
        <v>1.35</v>
      </c>
      <c r="E10" s="106">
        <v>207.3</v>
      </c>
      <c r="F10" s="107">
        <f t="shared" si="1"/>
        <v>134330.4</v>
      </c>
      <c r="G10" s="583"/>
      <c r="H10" s="583"/>
      <c r="I10" s="590"/>
      <c r="J10" s="582"/>
      <c r="K10" s="591"/>
      <c r="L10" s="582"/>
      <c r="M10" s="113">
        <v>34</v>
      </c>
      <c r="N10" s="109">
        <v>18</v>
      </c>
      <c r="O10" s="109">
        <f t="shared" si="2"/>
        <v>16</v>
      </c>
      <c r="Q10" s="584"/>
      <c r="R10" s="94" t="s">
        <v>162</v>
      </c>
      <c r="S10" s="111">
        <v>1015</v>
      </c>
      <c r="U10" s="578"/>
      <c r="V10" s="125" t="s">
        <v>162</v>
      </c>
      <c r="W10" s="125">
        <v>535</v>
      </c>
      <c r="X10" s="125">
        <v>1.35</v>
      </c>
      <c r="Y10" s="128">
        <v>207.3</v>
      </c>
      <c r="Z10" s="107">
        <f t="shared" si="3"/>
        <v>149722.42500000002</v>
      </c>
      <c r="AA10" s="583"/>
      <c r="AB10" s="583"/>
      <c r="AC10" s="590"/>
      <c r="AD10" s="582"/>
      <c r="AE10" s="591"/>
      <c r="AF10" s="582"/>
      <c r="AG10" s="113">
        <v>34</v>
      </c>
      <c r="AH10" s="127">
        <v>18</v>
      </c>
      <c r="AI10" s="127">
        <f t="shared" si="4"/>
        <v>16</v>
      </c>
    </row>
    <row r="11" spans="1:35">
      <c r="A11" s="578"/>
      <c r="B11" s="111" t="s">
        <v>101</v>
      </c>
      <c r="C11" s="111">
        <f t="shared" si="0"/>
        <v>480</v>
      </c>
      <c r="D11" s="111">
        <v>1.35</v>
      </c>
      <c r="E11" s="106">
        <v>207.3</v>
      </c>
      <c r="F11" s="107">
        <f>C11*D11*E11</f>
        <v>134330.4</v>
      </c>
      <c r="G11" s="583"/>
      <c r="H11" s="583"/>
      <c r="I11" s="590"/>
      <c r="J11" s="582"/>
      <c r="K11" s="591"/>
      <c r="L11" s="582"/>
      <c r="M11" s="113">
        <v>34</v>
      </c>
      <c r="N11" s="109">
        <v>18</v>
      </c>
      <c r="O11" s="109">
        <f t="shared" si="2"/>
        <v>16</v>
      </c>
      <c r="Q11" s="584"/>
      <c r="R11" s="94" t="s">
        <v>101</v>
      </c>
      <c r="S11" s="111">
        <v>1020</v>
      </c>
      <c r="U11" s="578"/>
      <c r="V11" s="125" t="s">
        <v>101</v>
      </c>
      <c r="W11" s="125">
        <v>540</v>
      </c>
      <c r="X11" s="125">
        <v>1.35</v>
      </c>
      <c r="Y11" s="128">
        <v>207.3</v>
      </c>
      <c r="Z11" s="107">
        <f>W11*X11*Y11</f>
        <v>151121.70000000001</v>
      </c>
      <c r="AA11" s="583"/>
      <c r="AB11" s="583"/>
      <c r="AC11" s="590"/>
      <c r="AD11" s="582"/>
      <c r="AE11" s="591"/>
      <c r="AF11" s="582"/>
      <c r="AG11" s="113">
        <v>34</v>
      </c>
      <c r="AH11" s="127">
        <v>18</v>
      </c>
      <c r="AI11" s="127">
        <f t="shared" si="4"/>
        <v>16</v>
      </c>
    </row>
    <row r="12" spans="1:35">
      <c r="A12" s="578">
        <v>134</v>
      </c>
      <c r="B12" s="111" t="s">
        <v>101</v>
      </c>
      <c r="C12" s="111">
        <v>851</v>
      </c>
      <c r="D12" s="111">
        <v>1.45</v>
      </c>
      <c r="E12" s="106">
        <v>207.3</v>
      </c>
      <c r="F12" s="107">
        <f t="shared" si="1"/>
        <v>255797.83500000002</v>
      </c>
      <c r="G12" s="596">
        <v>4500</v>
      </c>
      <c r="H12" s="596">
        <v>8661.5</v>
      </c>
      <c r="I12" s="540">
        <v>490</v>
      </c>
      <c r="J12" s="582">
        <f>G12/H12*SUM(C12:C19)*I12</f>
        <v>1059285.9204525773</v>
      </c>
      <c r="K12" s="591">
        <f>J12+SUM(F12:F19)</f>
        <v>2310020.1054525771</v>
      </c>
      <c r="L12" s="582">
        <f>K12/SUM(C12:C19)</f>
        <v>555.15984269468333</v>
      </c>
      <c r="M12" s="113">
        <v>58</v>
      </c>
      <c r="N12" s="109">
        <v>30</v>
      </c>
      <c r="O12" s="109">
        <f t="shared" si="2"/>
        <v>28</v>
      </c>
      <c r="Q12" s="585">
        <v>134</v>
      </c>
      <c r="R12" s="94" t="s">
        <v>163</v>
      </c>
      <c r="S12" s="111">
        <v>1750</v>
      </c>
      <c r="U12" s="578">
        <v>134</v>
      </c>
      <c r="V12" s="125" t="s">
        <v>101</v>
      </c>
      <c r="W12" s="125">
        <v>899</v>
      </c>
      <c r="X12" s="125">
        <v>1.45</v>
      </c>
      <c r="Y12" s="128">
        <v>207.3</v>
      </c>
      <c r="Z12" s="107">
        <f t="shared" ref="Z12:Z36" si="5">W12*X12*Y12</f>
        <v>270225.91499999998</v>
      </c>
      <c r="AA12" s="596">
        <v>4500</v>
      </c>
      <c r="AB12" s="596">
        <v>8661.5</v>
      </c>
      <c r="AC12" s="540">
        <v>490</v>
      </c>
      <c r="AD12" s="582">
        <f>AA12/AB12*SUM(W12:W19)*AC12</f>
        <v>1145714.0795474225</v>
      </c>
      <c r="AE12" s="591">
        <f>AD12+SUM(Z12:Z19)</f>
        <v>2498496.8720474225</v>
      </c>
      <c r="AF12" s="582">
        <f>AE12/SUM(W12:W19)</f>
        <v>555.15984269468333</v>
      </c>
      <c r="AG12" s="113">
        <v>58</v>
      </c>
      <c r="AH12" s="127">
        <v>30</v>
      </c>
      <c r="AI12" s="127">
        <f t="shared" si="4"/>
        <v>28</v>
      </c>
    </row>
    <row r="13" spans="1:35">
      <c r="A13" s="578"/>
      <c r="B13" s="111" t="s">
        <v>100</v>
      </c>
      <c r="C13" s="111">
        <v>797.5</v>
      </c>
      <c r="D13" s="111">
        <v>1.45</v>
      </c>
      <c r="E13" s="106">
        <v>207.3</v>
      </c>
      <c r="F13" s="107">
        <f t="shared" si="1"/>
        <v>239716.53750000001</v>
      </c>
      <c r="G13" s="600"/>
      <c r="H13" s="600"/>
      <c r="I13" s="549"/>
      <c r="J13" s="582"/>
      <c r="K13" s="591"/>
      <c r="L13" s="582"/>
      <c r="M13" s="113">
        <v>55</v>
      </c>
      <c r="N13" s="109">
        <v>28</v>
      </c>
      <c r="O13" s="109">
        <f t="shared" si="2"/>
        <v>27</v>
      </c>
      <c r="Q13" s="586"/>
      <c r="R13" s="94" t="s">
        <v>164</v>
      </c>
      <c r="S13" s="111">
        <v>1642.5</v>
      </c>
      <c r="U13" s="578"/>
      <c r="V13" s="125" t="s">
        <v>100</v>
      </c>
      <c r="W13" s="125">
        <v>845</v>
      </c>
      <c r="X13" s="125">
        <v>1.45</v>
      </c>
      <c r="Y13" s="128">
        <v>207.3</v>
      </c>
      <c r="Z13" s="107">
        <f t="shared" si="5"/>
        <v>253994.32500000001</v>
      </c>
      <c r="AA13" s="600"/>
      <c r="AB13" s="600"/>
      <c r="AC13" s="549"/>
      <c r="AD13" s="582"/>
      <c r="AE13" s="591"/>
      <c r="AF13" s="582"/>
      <c r="AG13" s="113">
        <v>55</v>
      </c>
      <c r="AH13" s="127">
        <v>28</v>
      </c>
      <c r="AI13" s="127">
        <f t="shared" si="4"/>
        <v>27</v>
      </c>
    </row>
    <row r="14" spans="1:35">
      <c r="A14" s="578"/>
      <c r="B14" s="111" t="s">
        <v>114</v>
      </c>
      <c r="C14" s="111">
        <f t="shared" si="0"/>
        <v>630</v>
      </c>
      <c r="D14" s="111">
        <v>1.45</v>
      </c>
      <c r="E14" s="106">
        <v>207.3</v>
      </c>
      <c r="F14" s="107">
        <f t="shared" si="1"/>
        <v>189368.55000000002</v>
      </c>
      <c r="G14" s="600"/>
      <c r="H14" s="600"/>
      <c r="I14" s="549"/>
      <c r="J14" s="582"/>
      <c r="K14" s="591"/>
      <c r="L14" s="582"/>
      <c r="M14" s="113">
        <v>44</v>
      </c>
      <c r="N14" s="109">
        <v>23</v>
      </c>
      <c r="O14" s="109">
        <f t="shared" si="2"/>
        <v>21</v>
      </c>
      <c r="Q14" s="586"/>
      <c r="R14" s="94" t="s">
        <v>165</v>
      </c>
      <c r="S14" s="111">
        <v>1310.5</v>
      </c>
      <c r="U14" s="578"/>
      <c r="V14" s="125" t="s">
        <v>114</v>
      </c>
      <c r="W14" s="125">
        <v>680.5</v>
      </c>
      <c r="X14" s="125">
        <v>1.45</v>
      </c>
      <c r="Y14" s="128">
        <v>207.3</v>
      </c>
      <c r="Z14" s="107">
        <f t="shared" si="5"/>
        <v>204548.09250000003</v>
      </c>
      <c r="AA14" s="600"/>
      <c r="AB14" s="600"/>
      <c r="AC14" s="549"/>
      <c r="AD14" s="582"/>
      <c r="AE14" s="591"/>
      <c r="AF14" s="582"/>
      <c r="AG14" s="113">
        <v>44</v>
      </c>
      <c r="AH14" s="127">
        <v>23</v>
      </c>
      <c r="AI14" s="127">
        <f t="shared" si="4"/>
        <v>21</v>
      </c>
    </row>
    <row r="15" spans="1:35">
      <c r="A15" s="578"/>
      <c r="B15" s="111" t="s">
        <v>112</v>
      </c>
      <c r="C15" s="111">
        <f t="shared" si="0"/>
        <v>570</v>
      </c>
      <c r="D15" s="111">
        <v>1.45</v>
      </c>
      <c r="E15" s="106">
        <v>207.3</v>
      </c>
      <c r="F15" s="107">
        <f t="shared" si="1"/>
        <v>171333.45</v>
      </c>
      <c r="G15" s="600"/>
      <c r="H15" s="600"/>
      <c r="I15" s="549"/>
      <c r="J15" s="582"/>
      <c r="K15" s="591"/>
      <c r="L15" s="582"/>
      <c r="M15" s="113">
        <v>42</v>
      </c>
      <c r="N15" s="109">
        <v>23</v>
      </c>
      <c r="O15" s="109">
        <f t="shared" si="2"/>
        <v>19</v>
      </c>
      <c r="Q15" s="586"/>
      <c r="R15" s="94" t="s">
        <v>166</v>
      </c>
      <c r="S15" s="111">
        <v>1263</v>
      </c>
      <c r="U15" s="578"/>
      <c r="V15" s="125" t="s">
        <v>112</v>
      </c>
      <c r="W15" s="125">
        <v>693</v>
      </c>
      <c r="X15" s="125">
        <v>1.45</v>
      </c>
      <c r="Y15" s="128">
        <v>207.3</v>
      </c>
      <c r="Z15" s="107">
        <f t="shared" si="5"/>
        <v>208305.40500000003</v>
      </c>
      <c r="AA15" s="600"/>
      <c r="AB15" s="600"/>
      <c r="AC15" s="549"/>
      <c r="AD15" s="582"/>
      <c r="AE15" s="591"/>
      <c r="AF15" s="582"/>
      <c r="AG15" s="113">
        <v>42</v>
      </c>
      <c r="AH15" s="127">
        <v>23</v>
      </c>
      <c r="AI15" s="127">
        <f t="shared" si="4"/>
        <v>19</v>
      </c>
    </row>
    <row r="16" spans="1:35">
      <c r="A16" s="578"/>
      <c r="B16" s="111" t="s">
        <v>160</v>
      </c>
      <c r="C16" s="111">
        <v>306</v>
      </c>
      <c r="D16" s="111">
        <v>1.45</v>
      </c>
      <c r="E16" s="106">
        <v>207.3</v>
      </c>
      <c r="F16" s="107">
        <f t="shared" si="1"/>
        <v>91979.010000000009</v>
      </c>
      <c r="G16" s="600"/>
      <c r="H16" s="600"/>
      <c r="I16" s="549"/>
      <c r="J16" s="582"/>
      <c r="K16" s="591"/>
      <c r="L16" s="582"/>
      <c r="M16" s="113">
        <v>23</v>
      </c>
      <c r="N16" s="109">
        <v>13</v>
      </c>
      <c r="O16" s="109">
        <f t="shared" si="2"/>
        <v>10</v>
      </c>
      <c r="Q16" s="586"/>
      <c r="R16" s="94" t="s">
        <v>167</v>
      </c>
      <c r="S16" s="111">
        <v>708</v>
      </c>
      <c r="U16" s="578"/>
      <c r="V16" s="125" t="s">
        <v>160</v>
      </c>
      <c r="W16" s="125">
        <v>402</v>
      </c>
      <c r="X16" s="125">
        <v>1.45</v>
      </c>
      <c r="Y16" s="128">
        <v>207.3</v>
      </c>
      <c r="Z16" s="107">
        <f t="shared" si="5"/>
        <v>120835.17</v>
      </c>
      <c r="AA16" s="600"/>
      <c r="AB16" s="600"/>
      <c r="AC16" s="549"/>
      <c r="AD16" s="582"/>
      <c r="AE16" s="591"/>
      <c r="AF16" s="582"/>
      <c r="AG16" s="113">
        <v>23</v>
      </c>
      <c r="AH16" s="127">
        <v>13</v>
      </c>
      <c r="AI16" s="127">
        <f t="shared" si="4"/>
        <v>10</v>
      </c>
    </row>
    <row r="17" spans="1:35">
      <c r="A17" s="578"/>
      <c r="B17" s="111" t="s">
        <v>186</v>
      </c>
      <c r="C17" s="111">
        <v>359.5</v>
      </c>
      <c r="D17" s="111">
        <v>1.45</v>
      </c>
      <c r="E17" s="106">
        <v>207.3</v>
      </c>
      <c r="F17" s="107">
        <f t="shared" si="1"/>
        <v>108060.3075</v>
      </c>
      <c r="G17" s="600"/>
      <c r="H17" s="600"/>
      <c r="I17" s="549"/>
      <c r="J17" s="582"/>
      <c r="K17" s="591"/>
      <c r="L17" s="582"/>
      <c r="M17" s="113">
        <v>24</v>
      </c>
      <c r="N17" s="109">
        <v>12</v>
      </c>
      <c r="O17" s="109">
        <f t="shared" si="2"/>
        <v>12</v>
      </c>
      <c r="Q17" s="586"/>
      <c r="R17" s="94" t="s">
        <v>168</v>
      </c>
      <c r="S17" s="111">
        <v>710.5</v>
      </c>
      <c r="U17" s="578"/>
      <c r="V17" s="125" t="s">
        <v>186</v>
      </c>
      <c r="W17" s="125">
        <v>351</v>
      </c>
      <c r="X17" s="125">
        <v>1.45</v>
      </c>
      <c r="Y17" s="128">
        <v>207.3</v>
      </c>
      <c r="Z17" s="107">
        <f t="shared" si="5"/>
        <v>105505.33500000001</v>
      </c>
      <c r="AA17" s="600"/>
      <c r="AB17" s="600"/>
      <c r="AC17" s="549"/>
      <c r="AD17" s="582"/>
      <c r="AE17" s="591"/>
      <c r="AF17" s="582"/>
      <c r="AG17" s="113">
        <v>24</v>
      </c>
      <c r="AH17" s="127">
        <v>12</v>
      </c>
      <c r="AI17" s="127">
        <f t="shared" si="4"/>
        <v>12</v>
      </c>
    </row>
    <row r="18" spans="1:35">
      <c r="A18" s="578"/>
      <c r="B18" s="111" t="s">
        <v>151</v>
      </c>
      <c r="C18" s="111">
        <v>303</v>
      </c>
      <c r="D18" s="111">
        <v>1.45</v>
      </c>
      <c r="E18" s="106">
        <v>207.3</v>
      </c>
      <c r="F18" s="107">
        <f t="shared" si="1"/>
        <v>91077.255000000005</v>
      </c>
      <c r="G18" s="600"/>
      <c r="H18" s="600"/>
      <c r="I18" s="549"/>
      <c r="J18" s="582"/>
      <c r="K18" s="591"/>
      <c r="L18" s="582"/>
      <c r="M18" s="113">
        <v>20</v>
      </c>
      <c r="N18" s="109">
        <v>10</v>
      </c>
      <c r="O18" s="109">
        <f t="shared" si="2"/>
        <v>10</v>
      </c>
      <c r="Q18" s="586"/>
      <c r="R18" s="94" t="s">
        <v>169</v>
      </c>
      <c r="S18" s="111">
        <v>603</v>
      </c>
      <c r="U18" s="578"/>
      <c r="V18" s="125" t="s">
        <v>151</v>
      </c>
      <c r="W18" s="125">
        <v>300</v>
      </c>
      <c r="X18" s="125">
        <v>1.45</v>
      </c>
      <c r="Y18" s="128">
        <v>207.3</v>
      </c>
      <c r="Z18" s="107">
        <f t="shared" si="5"/>
        <v>90175.5</v>
      </c>
      <c r="AA18" s="600"/>
      <c r="AB18" s="600"/>
      <c r="AC18" s="549"/>
      <c r="AD18" s="582"/>
      <c r="AE18" s="591"/>
      <c r="AF18" s="582"/>
      <c r="AG18" s="113">
        <v>20</v>
      </c>
      <c r="AH18" s="127">
        <v>10</v>
      </c>
      <c r="AI18" s="127">
        <f t="shared" si="4"/>
        <v>10</v>
      </c>
    </row>
    <row r="19" spans="1:35">
      <c r="A19" s="578"/>
      <c r="B19" s="111" t="s">
        <v>95</v>
      </c>
      <c r="C19" s="111">
        <v>344</v>
      </c>
      <c r="D19" s="111">
        <v>1.45</v>
      </c>
      <c r="E19" s="106">
        <v>207.3</v>
      </c>
      <c r="F19" s="107">
        <f t="shared" si="1"/>
        <v>103401.24</v>
      </c>
      <c r="G19" s="597"/>
      <c r="H19" s="597"/>
      <c r="I19" s="541"/>
      <c r="J19" s="582"/>
      <c r="K19" s="591"/>
      <c r="L19" s="582"/>
      <c r="M19" s="113">
        <v>22</v>
      </c>
      <c r="N19" s="109">
        <v>11</v>
      </c>
      <c r="O19" s="109">
        <f t="shared" si="2"/>
        <v>11</v>
      </c>
      <c r="Q19" s="587"/>
      <c r="R19" s="94" t="s">
        <v>170</v>
      </c>
      <c r="S19" s="111">
        <v>674</v>
      </c>
      <c r="U19" s="578"/>
      <c r="V19" s="125" t="s">
        <v>95</v>
      </c>
      <c r="W19" s="125">
        <v>330</v>
      </c>
      <c r="X19" s="125">
        <v>1.45</v>
      </c>
      <c r="Y19" s="128">
        <v>207.3</v>
      </c>
      <c r="Z19" s="107">
        <f t="shared" si="5"/>
        <v>99193.05</v>
      </c>
      <c r="AA19" s="597"/>
      <c r="AB19" s="597"/>
      <c r="AC19" s="541"/>
      <c r="AD19" s="582"/>
      <c r="AE19" s="591"/>
      <c r="AF19" s="582"/>
      <c r="AG19" s="113">
        <v>22</v>
      </c>
      <c r="AH19" s="127">
        <v>11</v>
      </c>
      <c r="AI19" s="127">
        <f t="shared" si="4"/>
        <v>11</v>
      </c>
    </row>
    <row r="20" spans="1:35">
      <c r="A20" s="578">
        <v>21146</v>
      </c>
      <c r="B20" s="111" t="s">
        <v>94</v>
      </c>
      <c r="C20" s="111">
        <v>60</v>
      </c>
      <c r="D20" s="111">
        <v>2</v>
      </c>
      <c r="E20" s="106">
        <v>207.3</v>
      </c>
      <c r="F20" s="107">
        <f t="shared" si="1"/>
        <v>24876</v>
      </c>
      <c r="G20" s="583">
        <v>310</v>
      </c>
      <c r="H20" s="583">
        <v>439</v>
      </c>
      <c r="I20" s="590">
        <v>490</v>
      </c>
      <c r="J20" s="582">
        <f>G20/H20*SUM(C20:C21)*I20</f>
        <v>41521.640091116169</v>
      </c>
      <c r="K20" s="591">
        <f>L20*SUM(C20:C21)</f>
        <v>102000</v>
      </c>
      <c r="L20" s="582">
        <v>850</v>
      </c>
      <c r="M20" s="113">
        <v>8</v>
      </c>
      <c r="N20" s="109">
        <v>7</v>
      </c>
      <c r="O20" s="109">
        <v>2</v>
      </c>
      <c r="Q20" s="585">
        <v>21146</v>
      </c>
      <c r="R20" s="94" t="s">
        <v>171</v>
      </c>
      <c r="S20" s="111">
        <v>228</v>
      </c>
      <c r="U20" s="578">
        <v>21146</v>
      </c>
      <c r="V20" s="125" t="s">
        <v>94</v>
      </c>
      <c r="W20" s="125">
        <v>168</v>
      </c>
      <c r="X20" s="125">
        <v>2</v>
      </c>
      <c r="Y20" s="128">
        <v>207.3</v>
      </c>
      <c r="Z20" s="107">
        <f t="shared" si="5"/>
        <v>69652.800000000003</v>
      </c>
      <c r="AA20" s="583">
        <v>310</v>
      </c>
      <c r="AB20" s="583">
        <v>439</v>
      </c>
      <c r="AC20" s="590">
        <v>490</v>
      </c>
      <c r="AD20" s="582">
        <f>AA20/AB20*SUM(W20:W21)*AC20</f>
        <v>110378.35990888382</v>
      </c>
      <c r="AE20" s="591">
        <f>AD20+SUM(Z20:Z21)</f>
        <v>242635.75990888383</v>
      </c>
      <c r="AF20" s="582">
        <f>AE20/SUM(W20:W21)</f>
        <v>760.61366742596817</v>
      </c>
      <c r="AG20" s="113">
        <v>8</v>
      </c>
      <c r="AH20" s="127">
        <v>6</v>
      </c>
      <c r="AI20" s="127">
        <f t="shared" si="4"/>
        <v>2</v>
      </c>
    </row>
    <row r="21" spans="1:35">
      <c r="A21" s="578"/>
      <c r="B21" s="111" t="s">
        <v>96</v>
      </c>
      <c r="C21" s="111">
        <v>60</v>
      </c>
      <c r="D21" s="111">
        <v>2</v>
      </c>
      <c r="E21" s="106">
        <v>207.3</v>
      </c>
      <c r="F21" s="107">
        <f t="shared" si="1"/>
        <v>24876</v>
      </c>
      <c r="G21" s="583"/>
      <c r="H21" s="583"/>
      <c r="I21" s="590"/>
      <c r="J21" s="582"/>
      <c r="K21" s="591"/>
      <c r="L21" s="582"/>
      <c r="M21" s="113">
        <v>7</v>
      </c>
      <c r="N21" s="109">
        <v>6</v>
      </c>
      <c r="O21" s="109">
        <v>2</v>
      </c>
      <c r="Q21" s="587"/>
      <c r="R21" s="94" t="s">
        <v>172</v>
      </c>
      <c r="S21" s="111">
        <v>211</v>
      </c>
      <c r="U21" s="578"/>
      <c r="V21" s="125" t="s">
        <v>96</v>
      </c>
      <c r="W21" s="125">
        <v>151</v>
      </c>
      <c r="X21" s="125">
        <v>2</v>
      </c>
      <c r="Y21" s="128">
        <v>207.3</v>
      </c>
      <c r="Z21" s="107">
        <f t="shared" si="5"/>
        <v>62604.600000000006</v>
      </c>
      <c r="AA21" s="583"/>
      <c r="AB21" s="583"/>
      <c r="AC21" s="590"/>
      <c r="AD21" s="582"/>
      <c r="AE21" s="591"/>
      <c r="AF21" s="582"/>
      <c r="AG21" s="113">
        <v>7</v>
      </c>
      <c r="AH21" s="127">
        <v>5</v>
      </c>
      <c r="AI21" s="127">
        <f t="shared" si="4"/>
        <v>2</v>
      </c>
    </row>
    <row r="22" spans="1:35" ht="25.5">
      <c r="A22" s="114" t="s">
        <v>187</v>
      </c>
      <c r="B22" s="111" t="s">
        <v>188</v>
      </c>
      <c r="C22" s="111">
        <f t="shared" si="0"/>
        <v>540</v>
      </c>
      <c r="D22" s="111">
        <v>2.1</v>
      </c>
      <c r="E22" s="106">
        <v>207.3</v>
      </c>
      <c r="F22" s="107">
        <f t="shared" si="1"/>
        <v>235078.2</v>
      </c>
      <c r="G22" s="111">
        <v>770</v>
      </c>
      <c r="H22" s="111">
        <v>1140</v>
      </c>
      <c r="I22" s="106">
        <v>490</v>
      </c>
      <c r="J22" s="109">
        <f>G22/H22*SUM(C22)*I22</f>
        <v>178721.05263157896</v>
      </c>
      <c r="K22" s="110">
        <f>J22+SUM(F22)</f>
        <v>413799.25263157894</v>
      </c>
      <c r="L22" s="109">
        <f>K22/SUM(C22)</f>
        <v>766.29491228070174</v>
      </c>
      <c r="M22" s="113">
        <v>38</v>
      </c>
      <c r="N22" s="109">
        <v>20</v>
      </c>
      <c r="O22" s="109">
        <f t="shared" si="2"/>
        <v>18</v>
      </c>
      <c r="Q22" s="95" t="s">
        <v>173</v>
      </c>
      <c r="R22" s="95" t="s">
        <v>174</v>
      </c>
      <c r="S22" s="111">
        <v>1140</v>
      </c>
      <c r="U22" s="126" t="s">
        <v>187</v>
      </c>
      <c r="V22" s="125" t="s">
        <v>188</v>
      </c>
      <c r="W22" s="125">
        <v>600</v>
      </c>
      <c r="X22" s="125">
        <v>2.1</v>
      </c>
      <c r="Y22" s="128">
        <v>207.3</v>
      </c>
      <c r="Z22" s="107">
        <f t="shared" si="5"/>
        <v>261198</v>
      </c>
      <c r="AA22" s="125">
        <v>770</v>
      </c>
      <c r="AB22" s="125">
        <v>1140</v>
      </c>
      <c r="AC22" s="128">
        <v>490</v>
      </c>
      <c r="AD22" s="127">
        <f>AA22/AB22*SUM(W22)*AC22</f>
        <v>198578.94736842104</v>
      </c>
      <c r="AE22" s="129">
        <f>AD22+SUM(Z22)</f>
        <v>459776.94736842101</v>
      </c>
      <c r="AF22" s="127">
        <f>AE22/SUM(W22)</f>
        <v>766.29491228070174</v>
      </c>
      <c r="AG22" s="113">
        <v>38</v>
      </c>
      <c r="AH22" s="127">
        <v>20</v>
      </c>
      <c r="AI22" s="127">
        <f t="shared" si="4"/>
        <v>18</v>
      </c>
    </row>
    <row r="23" spans="1:35">
      <c r="A23" s="578" t="s">
        <v>189</v>
      </c>
      <c r="B23" s="111" t="s">
        <v>101</v>
      </c>
      <c r="C23" s="111">
        <v>1320</v>
      </c>
      <c r="D23" s="111">
        <v>0.85</v>
      </c>
      <c r="E23" s="106">
        <v>207.3</v>
      </c>
      <c r="F23" s="107">
        <f t="shared" si="1"/>
        <v>232590.6</v>
      </c>
      <c r="G23" s="583">
        <v>2230</v>
      </c>
      <c r="H23" s="583">
        <v>6655</v>
      </c>
      <c r="I23" s="590">
        <v>490</v>
      </c>
      <c r="J23" s="582">
        <f>G23/H23*SUM(C23:C29)*I23</f>
        <v>531983.17054845986</v>
      </c>
      <c r="K23" s="591">
        <f>J23+SUM(F23:F29)</f>
        <v>1102887.3705484599</v>
      </c>
      <c r="L23" s="582">
        <f>K23/SUM(C23:C29)</f>
        <v>340.39733658903083</v>
      </c>
      <c r="M23" s="113">
        <v>88</v>
      </c>
      <c r="N23" s="109">
        <v>44</v>
      </c>
      <c r="O23" s="109">
        <f t="shared" si="2"/>
        <v>44</v>
      </c>
      <c r="Q23" s="585" t="s">
        <v>175</v>
      </c>
      <c r="R23" s="95" t="s">
        <v>163</v>
      </c>
      <c r="S23" s="111">
        <v>2640</v>
      </c>
      <c r="U23" s="578" t="s">
        <v>189</v>
      </c>
      <c r="V23" s="125" t="s">
        <v>101</v>
      </c>
      <c r="W23" s="125">
        <v>1320</v>
      </c>
      <c r="X23" s="125">
        <v>0.85</v>
      </c>
      <c r="Y23" s="128">
        <v>207.3</v>
      </c>
      <c r="Z23" s="107">
        <f t="shared" si="5"/>
        <v>232590.6</v>
      </c>
      <c r="AA23" s="583">
        <v>2230</v>
      </c>
      <c r="AB23" s="583">
        <v>6655</v>
      </c>
      <c r="AC23" s="590">
        <v>490</v>
      </c>
      <c r="AD23" s="582">
        <f>AA23/AB23*SUM(W23:W29)*AC23</f>
        <v>560716.82945154025</v>
      </c>
      <c r="AE23" s="591">
        <f>AD23+SUM(Z23:Z29)</f>
        <v>1162456.9044515402</v>
      </c>
      <c r="AF23" s="582">
        <f>AE23/SUM(W23:W29)</f>
        <v>340.39733658903083</v>
      </c>
      <c r="AG23" s="113">
        <v>88</v>
      </c>
      <c r="AH23" s="127">
        <v>44</v>
      </c>
      <c r="AI23" s="127">
        <f t="shared" si="4"/>
        <v>44</v>
      </c>
    </row>
    <row r="24" spans="1:35">
      <c r="A24" s="578"/>
      <c r="B24" s="111" t="s">
        <v>110</v>
      </c>
      <c r="C24" s="111">
        <v>420</v>
      </c>
      <c r="D24" s="111">
        <v>0.85</v>
      </c>
      <c r="E24" s="106">
        <v>207.3</v>
      </c>
      <c r="F24" s="107">
        <f t="shared" si="1"/>
        <v>74006.100000000006</v>
      </c>
      <c r="G24" s="583"/>
      <c r="H24" s="583"/>
      <c r="I24" s="590"/>
      <c r="J24" s="582"/>
      <c r="K24" s="591"/>
      <c r="L24" s="582"/>
      <c r="M24" s="113">
        <v>29</v>
      </c>
      <c r="N24" s="109">
        <v>15</v>
      </c>
      <c r="O24" s="109">
        <f t="shared" si="2"/>
        <v>14</v>
      </c>
      <c r="Q24" s="586"/>
      <c r="R24" s="95" t="s">
        <v>176</v>
      </c>
      <c r="S24" s="111">
        <v>881</v>
      </c>
      <c r="U24" s="578"/>
      <c r="V24" s="125" t="s">
        <v>110</v>
      </c>
      <c r="W24" s="125">
        <v>461</v>
      </c>
      <c r="X24" s="125">
        <v>0.85</v>
      </c>
      <c r="Y24" s="128">
        <v>207.3</v>
      </c>
      <c r="Z24" s="107">
        <f t="shared" si="5"/>
        <v>81230.505000000005</v>
      </c>
      <c r="AA24" s="583"/>
      <c r="AB24" s="583"/>
      <c r="AC24" s="590"/>
      <c r="AD24" s="582"/>
      <c r="AE24" s="591"/>
      <c r="AF24" s="582"/>
      <c r="AG24" s="113">
        <v>29</v>
      </c>
      <c r="AH24" s="127">
        <v>15</v>
      </c>
      <c r="AI24" s="127">
        <f t="shared" si="4"/>
        <v>14</v>
      </c>
    </row>
    <row r="25" spans="1:35">
      <c r="A25" s="578"/>
      <c r="B25" s="111" t="s">
        <v>95</v>
      </c>
      <c r="C25" s="111">
        <v>390</v>
      </c>
      <c r="D25" s="111">
        <v>0.85</v>
      </c>
      <c r="E25" s="106">
        <v>207.3</v>
      </c>
      <c r="F25" s="107">
        <f t="shared" si="1"/>
        <v>68719.95</v>
      </c>
      <c r="G25" s="583"/>
      <c r="H25" s="583"/>
      <c r="I25" s="590"/>
      <c r="J25" s="582"/>
      <c r="K25" s="591"/>
      <c r="L25" s="582"/>
      <c r="M25" s="113">
        <v>27</v>
      </c>
      <c r="N25" s="109">
        <v>14</v>
      </c>
      <c r="O25" s="109">
        <f t="shared" si="2"/>
        <v>13</v>
      </c>
      <c r="Q25" s="586"/>
      <c r="R25" s="95" t="s">
        <v>170</v>
      </c>
      <c r="S25" s="111">
        <v>832</v>
      </c>
      <c r="U25" s="578"/>
      <c r="V25" s="125" t="s">
        <v>95</v>
      </c>
      <c r="W25" s="125">
        <v>442</v>
      </c>
      <c r="X25" s="125">
        <v>0.85</v>
      </c>
      <c r="Y25" s="128">
        <v>207.3</v>
      </c>
      <c r="Z25" s="107">
        <f t="shared" si="5"/>
        <v>77882.61</v>
      </c>
      <c r="AA25" s="583"/>
      <c r="AB25" s="583"/>
      <c r="AC25" s="590"/>
      <c r="AD25" s="582"/>
      <c r="AE25" s="591"/>
      <c r="AF25" s="582"/>
      <c r="AG25" s="113">
        <v>27</v>
      </c>
      <c r="AH25" s="127">
        <v>14</v>
      </c>
      <c r="AI25" s="127">
        <f t="shared" si="4"/>
        <v>13</v>
      </c>
    </row>
    <row r="26" spans="1:35">
      <c r="A26" s="578"/>
      <c r="B26" s="111" t="s">
        <v>102</v>
      </c>
      <c r="C26" s="111">
        <v>300</v>
      </c>
      <c r="D26" s="111">
        <v>0.85</v>
      </c>
      <c r="E26" s="106">
        <v>207.3</v>
      </c>
      <c r="F26" s="107">
        <f t="shared" si="1"/>
        <v>52861.5</v>
      </c>
      <c r="G26" s="583"/>
      <c r="H26" s="583"/>
      <c r="I26" s="590"/>
      <c r="J26" s="582"/>
      <c r="K26" s="591"/>
      <c r="L26" s="582"/>
      <c r="M26" s="113">
        <v>20</v>
      </c>
      <c r="N26" s="109">
        <v>10</v>
      </c>
      <c r="O26" s="109">
        <f t="shared" si="2"/>
        <v>10</v>
      </c>
      <c r="Q26" s="586"/>
      <c r="R26" s="95" t="s">
        <v>177</v>
      </c>
      <c r="S26" s="111">
        <v>583</v>
      </c>
      <c r="U26" s="578"/>
      <c r="V26" s="125" t="s">
        <v>102</v>
      </c>
      <c r="W26" s="125">
        <v>283</v>
      </c>
      <c r="X26" s="125">
        <v>0.85</v>
      </c>
      <c r="Y26" s="128">
        <v>207.3</v>
      </c>
      <c r="Z26" s="107">
        <f t="shared" si="5"/>
        <v>49866.014999999999</v>
      </c>
      <c r="AA26" s="583"/>
      <c r="AB26" s="583"/>
      <c r="AC26" s="590"/>
      <c r="AD26" s="582"/>
      <c r="AE26" s="591"/>
      <c r="AF26" s="582"/>
      <c r="AG26" s="113">
        <v>20</v>
      </c>
      <c r="AH26" s="127">
        <v>10</v>
      </c>
      <c r="AI26" s="127">
        <f t="shared" si="4"/>
        <v>10</v>
      </c>
    </row>
    <row r="27" spans="1:35">
      <c r="A27" s="578"/>
      <c r="B27" s="111" t="s">
        <v>114</v>
      </c>
      <c r="C27" s="111">
        <v>240</v>
      </c>
      <c r="D27" s="111">
        <v>0.85</v>
      </c>
      <c r="E27" s="106">
        <v>207.3</v>
      </c>
      <c r="F27" s="107">
        <f t="shared" si="1"/>
        <v>42289.200000000004</v>
      </c>
      <c r="G27" s="583"/>
      <c r="H27" s="583"/>
      <c r="I27" s="590"/>
      <c r="J27" s="582"/>
      <c r="K27" s="591"/>
      <c r="L27" s="582"/>
      <c r="M27" s="113">
        <v>17</v>
      </c>
      <c r="N27" s="109">
        <v>9</v>
      </c>
      <c r="O27" s="109">
        <f t="shared" si="2"/>
        <v>8</v>
      </c>
      <c r="Q27" s="586"/>
      <c r="R27" s="95" t="s">
        <v>165</v>
      </c>
      <c r="S27" s="111">
        <v>519</v>
      </c>
      <c r="U27" s="578"/>
      <c r="V27" s="125" t="s">
        <v>114</v>
      </c>
      <c r="W27" s="125">
        <v>279</v>
      </c>
      <c r="X27" s="125">
        <v>0.85</v>
      </c>
      <c r="Y27" s="128">
        <v>207.3</v>
      </c>
      <c r="Z27" s="107">
        <f t="shared" si="5"/>
        <v>49161.195000000007</v>
      </c>
      <c r="AA27" s="583"/>
      <c r="AB27" s="583"/>
      <c r="AC27" s="590"/>
      <c r="AD27" s="582"/>
      <c r="AE27" s="591"/>
      <c r="AF27" s="582"/>
      <c r="AG27" s="113">
        <v>17</v>
      </c>
      <c r="AH27" s="127">
        <v>9</v>
      </c>
      <c r="AI27" s="127">
        <f t="shared" si="4"/>
        <v>8</v>
      </c>
    </row>
    <row r="28" spans="1:35" ht="15" customHeight="1">
      <c r="A28" s="578"/>
      <c r="B28" s="111" t="s">
        <v>100</v>
      </c>
      <c r="C28" s="111">
        <v>240</v>
      </c>
      <c r="D28" s="111">
        <v>0.85</v>
      </c>
      <c r="E28" s="106">
        <v>207.3</v>
      </c>
      <c r="F28" s="107">
        <f t="shared" si="1"/>
        <v>42289.200000000004</v>
      </c>
      <c r="G28" s="583"/>
      <c r="H28" s="583"/>
      <c r="I28" s="590"/>
      <c r="J28" s="582"/>
      <c r="K28" s="591"/>
      <c r="L28" s="582"/>
      <c r="M28" s="113">
        <v>17</v>
      </c>
      <c r="N28" s="109">
        <v>9</v>
      </c>
      <c r="O28" s="109">
        <f t="shared" si="2"/>
        <v>8</v>
      </c>
      <c r="Q28" s="586"/>
      <c r="R28" s="95" t="s">
        <v>164</v>
      </c>
      <c r="S28" s="111">
        <v>510</v>
      </c>
      <c r="U28" s="578"/>
      <c r="V28" s="125" t="s">
        <v>100</v>
      </c>
      <c r="W28" s="125">
        <v>270</v>
      </c>
      <c r="X28" s="125">
        <v>0.85</v>
      </c>
      <c r="Y28" s="128">
        <v>207.3</v>
      </c>
      <c r="Z28" s="107">
        <f t="shared" si="5"/>
        <v>47575.350000000006</v>
      </c>
      <c r="AA28" s="583"/>
      <c r="AB28" s="583"/>
      <c r="AC28" s="590"/>
      <c r="AD28" s="582"/>
      <c r="AE28" s="591"/>
      <c r="AF28" s="582"/>
      <c r="AG28" s="113">
        <v>17</v>
      </c>
      <c r="AH28" s="127">
        <v>9</v>
      </c>
      <c r="AI28" s="127">
        <f t="shared" si="4"/>
        <v>8</v>
      </c>
    </row>
    <row r="29" spans="1:35">
      <c r="A29" s="578"/>
      <c r="B29" s="111" t="s">
        <v>190</v>
      </c>
      <c r="C29" s="111">
        <v>330</v>
      </c>
      <c r="D29" s="111">
        <v>0.85</v>
      </c>
      <c r="E29" s="106">
        <v>207.3</v>
      </c>
      <c r="F29" s="107">
        <f t="shared" si="1"/>
        <v>58147.65</v>
      </c>
      <c r="G29" s="583"/>
      <c r="H29" s="583"/>
      <c r="I29" s="590"/>
      <c r="J29" s="582"/>
      <c r="K29" s="591"/>
      <c r="L29" s="582"/>
      <c r="M29" s="113">
        <v>23</v>
      </c>
      <c r="N29" s="109">
        <v>12</v>
      </c>
      <c r="O29" s="109">
        <f t="shared" si="2"/>
        <v>11</v>
      </c>
      <c r="Q29" s="587"/>
      <c r="R29" s="95" t="s">
        <v>178</v>
      </c>
      <c r="S29" s="111">
        <v>690</v>
      </c>
      <c r="U29" s="578"/>
      <c r="V29" s="125" t="s">
        <v>190</v>
      </c>
      <c r="W29" s="125">
        <v>360</v>
      </c>
      <c r="X29" s="125">
        <v>0.85</v>
      </c>
      <c r="Y29" s="128">
        <v>207.3</v>
      </c>
      <c r="Z29" s="107">
        <f t="shared" si="5"/>
        <v>63433.8</v>
      </c>
      <c r="AA29" s="583"/>
      <c r="AB29" s="583"/>
      <c r="AC29" s="590"/>
      <c r="AD29" s="582"/>
      <c r="AE29" s="591"/>
      <c r="AF29" s="582"/>
      <c r="AG29" s="113">
        <v>23</v>
      </c>
      <c r="AH29" s="127">
        <v>12</v>
      </c>
      <c r="AI29" s="127">
        <f t="shared" si="4"/>
        <v>11</v>
      </c>
    </row>
    <row r="30" spans="1:35">
      <c r="A30" s="114" t="s">
        <v>191</v>
      </c>
      <c r="B30" s="111" t="s">
        <v>98</v>
      </c>
      <c r="C30" s="111">
        <f t="shared" si="0"/>
        <v>240</v>
      </c>
      <c r="D30" s="111">
        <v>1.32</v>
      </c>
      <c r="E30" s="106">
        <v>207.3</v>
      </c>
      <c r="F30" s="107">
        <f t="shared" si="1"/>
        <v>65672.639999999999</v>
      </c>
      <c r="G30" s="111">
        <v>300</v>
      </c>
      <c r="H30" s="111">
        <v>827</v>
      </c>
      <c r="I30" s="106">
        <v>490</v>
      </c>
      <c r="J30" s="109">
        <f>G30/H30*C30*I30</f>
        <v>42660.217654171705</v>
      </c>
      <c r="K30" s="110">
        <f>J30+F30</f>
        <v>108332.8576541717</v>
      </c>
      <c r="L30" s="109">
        <f>K30/C30</f>
        <v>451.38690689238211</v>
      </c>
      <c r="M30" s="113">
        <v>28</v>
      </c>
      <c r="N30" s="109">
        <v>20</v>
      </c>
      <c r="O30" s="109">
        <f t="shared" si="2"/>
        <v>8</v>
      </c>
      <c r="Q30" s="95" t="s">
        <v>179</v>
      </c>
      <c r="R30" s="95" t="s">
        <v>180</v>
      </c>
      <c r="S30" s="111">
        <v>827</v>
      </c>
      <c r="U30" s="126" t="s">
        <v>191</v>
      </c>
      <c r="V30" s="125" t="s">
        <v>98</v>
      </c>
      <c r="W30" s="125">
        <v>587</v>
      </c>
      <c r="X30" s="125">
        <v>1.32</v>
      </c>
      <c r="Y30" s="128">
        <v>207.3</v>
      </c>
      <c r="Z30" s="107">
        <f t="shared" si="5"/>
        <v>160624.33200000002</v>
      </c>
      <c r="AA30" s="125">
        <v>300</v>
      </c>
      <c r="AB30" s="125">
        <v>827</v>
      </c>
      <c r="AC30" s="128">
        <v>490</v>
      </c>
      <c r="AD30" s="127">
        <f>AA30/AB30*W30*AC30</f>
        <v>104339.78234582829</v>
      </c>
      <c r="AE30" s="129">
        <f>AD30+Z30</f>
        <v>264964.1143458283</v>
      </c>
      <c r="AF30" s="127">
        <f>AE30/W30</f>
        <v>451.38690689238211</v>
      </c>
      <c r="AG30" s="113">
        <v>28</v>
      </c>
      <c r="AH30" s="127">
        <v>20</v>
      </c>
      <c r="AI30" s="127">
        <f t="shared" si="4"/>
        <v>8</v>
      </c>
    </row>
    <row r="31" spans="1:35">
      <c r="A31" s="578" t="s">
        <v>192</v>
      </c>
      <c r="B31" s="111" t="s">
        <v>94</v>
      </c>
      <c r="C31" s="111">
        <f t="shared" si="0"/>
        <v>210</v>
      </c>
      <c r="D31" s="111">
        <v>1</v>
      </c>
      <c r="E31" s="106">
        <v>207.3</v>
      </c>
      <c r="F31" s="107">
        <f t="shared" si="1"/>
        <v>43533</v>
      </c>
      <c r="G31" s="596">
        <v>350</v>
      </c>
      <c r="H31" s="583">
        <v>1286</v>
      </c>
      <c r="I31" s="590">
        <v>490</v>
      </c>
      <c r="J31" s="598">
        <f>G31/H31*SUM(C31:C32)*I31</f>
        <v>56010.886469673402</v>
      </c>
      <c r="K31" s="592">
        <f>J31+SUM(F31:F32)</f>
        <v>143076.88646967339</v>
      </c>
      <c r="L31" s="598">
        <f>K31/SUM(C31:C32)</f>
        <v>340.65925349922236</v>
      </c>
      <c r="M31" s="113">
        <v>21</v>
      </c>
      <c r="N31" s="109">
        <v>14</v>
      </c>
      <c r="O31" s="109">
        <f t="shared" si="2"/>
        <v>7</v>
      </c>
      <c r="Q31" s="585" t="s">
        <v>181</v>
      </c>
      <c r="R31" s="95" t="s">
        <v>171</v>
      </c>
      <c r="S31" s="111">
        <v>630</v>
      </c>
      <c r="U31" s="578" t="s">
        <v>192</v>
      </c>
      <c r="V31" s="125" t="s">
        <v>94</v>
      </c>
      <c r="W31" s="125">
        <v>420</v>
      </c>
      <c r="X31" s="125">
        <v>1</v>
      </c>
      <c r="Y31" s="128">
        <v>207.3</v>
      </c>
      <c r="Z31" s="107">
        <f t="shared" si="5"/>
        <v>87066</v>
      </c>
      <c r="AA31" s="596">
        <v>350</v>
      </c>
      <c r="AB31" s="583">
        <v>1286</v>
      </c>
      <c r="AC31" s="590">
        <v>490</v>
      </c>
      <c r="AD31" s="598">
        <f>AA31/AB31*SUM(W31:W32)*AC31</f>
        <v>115489.11353032659</v>
      </c>
      <c r="AE31" s="592">
        <f>AD31+SUM(Z31:Z32)</f>
        <v>295010.91353032656</v>
      </c>
      <c r="AF31" s="598">
        <f>AE31/SUM(W31:W32)</f>
        <v>340.65925349922236</v>
      </c>
      <c r="AG31" s="113">
        <v>21</v>
      </c>
      <c r="AH31" s="127">
        <v>14</v>
      </c>
      <c r="AI31" s="127">
        <f t="shared" si="4"/>
        <v>7</v>
      </c>
    </row>
    <row r="32" spans="1:35">
      <c r="A32" s="578"/>
      <c r="B32" s="111" t="s">
        <v>102</v>
      </c>
      <c r="C32" s="111">
        <f t="shared" si="0"/>
        <v>210</v>
      </c>
      <c r="D32" s="111">
        <v>1</v>
      </c>
      <c r="E32" s="106">
        <v>207.3</v>
      </c>
      <c r="F32" s="107">
        <f t="shared" si="1"/>
        <v>43533</v>
      </c>
      <c r="G32" s="597"/>
      <c r="H32" s="583"/>
      <c r="I32" s="590"/>
      <c r="J32" s="599"/>
      <c r="K32" s="593"/>
      <c r="L32" s="599"/>
      <c r="M32" s="113">
        <v>21</v>
      </c>
      <c r="N32" s="109">
        <v>14</v>
      </c>
      <c r="O32" s="109">
        <f t="shared" si="2"/>
        <v>7</v>
      </c>
      <c r="Q32" s="587"/>
      <c r="R32" s="95" t="s">
        <v>177</v>
      </c>
      <c r="S32" s="111">
        <v>656</v>
      </c>
      <c r="U32" s="578"/>
      <c r="V32" s="125" t="s">
        <v>102</v>
      </c>
      <c r="W32" s="125">
        <v>446</v>
      </c>
      <c r="X32" s="125">
        <v>1</v>
      </c>
      <c r="Y32" s="128">
        <v>207.3</v>
      </c>
      <c r="Z32" s="107">
        <f t="shared" si="5"/>
        <v>92455.8</v>
      </c>
      <c r="AA32" s="597"/>
      <c r="AB32" s="583"/>
      <c r="AC32" s="590"/>
      <c r="AD32" s="599"/>
      <c r="AE32" s="593"/>
      <c r="AF32" s="599"/>
      <c r="AG32" s="113">
        <v>21</v>
      </c>
      <c r="AH32" s="127">
        <v>14</v>
      </c>
      <c r="AI32" s="127">
        <f t="shared" si="4"/>
        <v>7</v>
      </c>
    </row>
    <row r="33" spans="1:35" ht="15" customHeight="1">
      <c r="A33" s="114" t="s">
        <v>193</v>
      </c>
      <c r="B33" s="111" t="s">
        <v>96</v>
      </c>
      <c r="C33" s="111">
        <f t="shared" si="0"/>
        <v>240</v>
      </c>
      <c r="D33" s="111">
        <v>3.1</v>
      </c>
      <c r="E33" s="106">
        <v>207.3</v>
      </c>
      <c r="F33" s="107">
        <f t="shared" si="1"/>
        <v>154231.20000000001</v>
      </c>
      <c r="G33" s="111">
        <v>580</v>
      </c>
      <c r="H33" s="111">
        <v>508</v>
      </c>
      <c r="I33" s="106">
        <v>490</v>
      </c>
      <c r="J33" s="109">
        <f>G33/H33*SUM(C33)*I33</f>
        <v>134267.71653543308</v>
      </c>
      <c r="K33" s="110">
        <f>J33+SUM(F33)</f>
        <v>288498.91653543309</v>
      </c>
      <c r="L33" s="109">
        <f>K33/SUM(C33)</f>
        <v>1202.0788188976378</v>
      </c>
      <c r="M33" s="113">
        <v>17</v>
      </c>
      <c r="N33" s="109">
        <v>9</v>
      </c>
      <c r="O33" s="109">
        <f t="shared" si="2"/>
        <v>8</v>
      </c>
      <c r="Q33" s="95" t="s">
        <v>182</v>
      </c>
      <c r="R33" s="95" t="s">
        <v>172</v>
      </c>
      <c r="S33" s="111">
        <v>508</v>
      </c>
      <c r="U33" s="126" t="s">
        <v>193</v>
      </c>
      <c r="V33" s="125" t="s">
        <v>96</v>
      </c>
      <c r="W33" s="125">
        <v>268</v>
      </c>
      <c r="X33" s="125">
        <v>3.1</v>
      </c>
      <c r="Y33" s="128">
        <v>207.3</v>
      </c>
      <c r="Z33" s="107">
        <f t="shared" si="5"/>
        <v>172224.84000000003</v>
      </c>
      <c r="AA33" s="125">
        <v>580</v>
      </c>
      <c r="AB33" s="125">
        <v>508</v>
      </c>
      <c r="AC33" s="128">
        <v>490</v>
      </c>
      <c r="AD33" s="127">
        <f>AA33/AB33*SUM(W33)*AC33</f>
        <v>149932.28346456692</v>
      </c>
      <c r="AE33" s="129">
        <f>AD33+SUM(Z33)</f>
        <v>322157.12346456695</v>
      </c>
      <c r="AF33" s="127">
        <f>AE33/SUM(W33)</f>
        <v>1202.0788188976378</v>
      </c>
      <c r="AG33" s="113">
        <v>17</v>
      </c>
      <c r="AH33" s="127">
        <v>9</v>
      </c>
      <c r="AI33" s="127">
        <f t="shared" si="4"/>
        <v>8</v>
      </c>
    </row>
    <row r="34" spans="1:35">
      <c r="A34" s="579" t="s">
        <v>135</v>
      </c>
      <c r="B34" s="115" t="s">
        <v>94</v>
      </c>
      <c r="C34" s="111">
        <f t="shared" si="0"/>
        <v>150</v>
      </c>
      <c r="D34" s="115">
        <v>3.85</v>
      </c>
      <c r="E34" s="106">
        <v>207.3</v>
      </c>
      <c r="F34" s="107">
        <f t="shared" si="1"/>
        <v>119715.75</v>
      </c>
      <c r="G34" s="594">
        <v>450</v>
      </c>
      <c r="H34" s="594">
        <v>505</v>
      </c>
      <c r="I34" s="540">
        <v>490</v>
      </c>
      <c r="J34" s="598">
        <f>G34/H34*SUM(C34:C35)*I34</f>
        <v>104792.07920792079</v>
      </c>
      <c r="K34" s="592">
        <f>J34+SUM(F34:F35)</f>
        <v>287941.62920792075</v>
      </c>
      <c r="L34" s="598">
        <f>K34/SUM(C34:C35)</f>
        <v>1199.7567883663364</v>
      </c>
      <c r="M34" s="116">
        <v>10</v>
      </c>
      <c r="N34" s="109">
        <v>5</v>
      </c>
      <c r="O34" s="109">
        <f t="shared" si="2"/>
        <v>5</v>
      </c>
      <c r="Q34" s="588" t="s">
        <v>183</v>
      </c>
      <c r="R34" s="92" t="s">
        <v>171</v>
      </c>
      <c r="S34" s="115">
        <v>295</v>
      </c>
      <c r="U34" s="579" t="s">
        <v>135</v>
      </c>
      <c r="V34" s="115" t="s">
        <v>94</v>
      </c>
      <c r="W34" s="125">
        <v>145</v>
      </c>
      <c r="X34" s="115">
        <v>3.85</v>
      </c>
      <c r="Y34" s="128">
        <v>207.3</v>
      </c>
      <c r="Z34" s="107">
        <f t="shared" si="5"/>
        <v>115725.22500000001</v>
      </c>
      <c r="AA34" s="594">
        <v>450</v>
      </c>
      <c r="AB34" s="594">
        <v>505</v>
      </c>
      <c r="AC34" s="540">
        <v>490</v>
      </c>
      <c r="AD34" s="598">
        <f>AA34/AB34*SUM(W34:W35)*AC34</f>
        <v>115707.92079207921</v>
      </c>
      <c r="AE34" s="592">
        <f>AD34+SUM(Z34:Z35)</f>
        <v>316011.54579207918</v>
      </c>
      <c r="AF34" s="598">
        <f>AE34/SUM(W34:W35)</f>
        <v>1192.4963992153932</v>
      </c>
      <c r="AG34" s="116">
        <v>10</v>
      </c>
      <c r="AH34" s="127">
        <v>5</v>
      </c>
      <c r="AI34" s="127">
        <f t="shared" si="4"/>
        <v>5</v>
      </c>
    </row>
    <row r="35" spans="1:35">
      <c r="A35" s="579"/>
      <c r="B35" s="115" t="s">
        <v>96</v>
      </c>
      <c r="C35" s="111">
        <f t="shared" si="0"/>
        <v>90</v>
      </c>
      <c r="D35" s="115">
        <v>3.4</v>
      </c>
      <c r="E35" s="106">
        <v>207.3</v>
      </c>
      <c r="F35" s="107">
        <f t="shared" si="1"/>
        <v>63433.8</v>
      </c>
      <c r="G35" s="595"/>
      <c r="H35" s="595"/>
      <c r="I35" s="541"/>
      <c r="J35" s="601"/>
      <c r="K35" s="602"/>
      <c r="L35" s="601"/>
      <c r="M35" s="116">
        <v>7</v>
      </c>
      <c r="N35" s="109">
        <v>4</v>
      </c>
      <c r="O35" s="109">
        <f t="shared" si="2"/>
        <v>3</v>
      </c>
      <c r="Q35" s="589"/>
      <c r="R35" s="92" t="s">
        <v>172</v>
      </c>
      <c r="S35" s="115">
        <v>210</v>
      </c>
      <c r="U35" s="579"/>
      <c r="V35" s="115" t="s">
        <v>96</v>
      </c>
      <c r="W35" s="125">
        <v>120</v>
      </c>
      <c r="X35" s="115">
        <v>3.4</v>
      </c>
      <c r="Y35" s="128">
        <v>207.3</v>
      </c>
      <c r="Z35" s="107">
        <f t="shared" si="5"/>
        <v>84578.400000000009</v>
      </c>
      <c r="AA35" s="595"/>
      <c r="AB35" s="595"/>
      <c r="AC35" s="541"/>
      <c r="AD35" s="601"/>
      <c r="AE35" s="602"/>
      <c r="AF35" s="601"/>
      <c r="AG35" s="116">
        <v>7</v>
      </c>
      <c r="AH35" s="127">
        <v>4</v>
      </c>
      <c r="AI35" s="127">
        <f t="shared" si="4"/>
        <v>3</v>
      </c>
    </row>
    <row r="36" spans="1:35">
      <c r="A36" s="117" t="s">
        <v>115</v>
      </c>
      <c r="B36" s="115" t="s">
        <v>103</v>
      </c>
      <c r="C36" s="111">
        <v>0</v>
      </c>
      <c r="D36" s="115">
        <v>1.1499999999999999</v>
      </c>
      <c r="E36" s="106">
        <v>207.3</v>
      </c>
      <c r="F36" s="107">
        <f t="shared" si="1"/>
        <v>0</v>
      </c>
      <c r="G36" s="115">
        <v>70</v>
      </c>
      <c r="H36" s="115">
        <v>210</v>
      </c>
      <c r="I36" s="106">
        <v>490</v>
      </c>
      <c r="J36" s="109">
        <f>G36/H36*SUM(C36)*I36</f>
        <v>0</v>
      </c>
      <c r="K36" s="110">
        <f>J36+SUM(F36)</f>
        <v>0</v>
      </c>
      <c r="L36" s="109" t="e">
        <f>K36/SUM(C36)</f>
        <v>#DIV/0!</v>
      </c>
      <c r="M36" s="116">
        <v>7</v>
      </c>
      <c r="N36" s="109">
        <v>7</v>
      </c>
      <c r="O36" s="109">
        <f t="shared" si="2"/>
        <v>0</v>
      </c>
      <c r="Q36" s="96" t="s">
        <v>184</v>
      </c>
      <c r="R36" s="92" t="s">
        <v>185</v>
      </c>
      <c r="S36" s="115">
        <v>210</v>
      </c>
      <c r="U36" s="130" t="s">
        <v>115</v>
      </c>
      <c r="V36" s="115" t="s">
        <v>103</v>
      </c>
      <c r="W36" s="125">
        <v>210</v>
      </c>
      <c r="X36" s="115">
        <v>1.1499999999999999</v>
      </c>
      <c r="Y36" s="128">
        <v>207.3</v>
      </c>
      <c r="Z36" s="107">
        <f t="shared" si="5"/>
        <v>50062.95</v>
      </c>
      <c r="AA36" s="115">
        <v>70</v>
      </c>
      <c r="AB36" s="115">
        <v>210</v>
      </c>
      <c r="AC36" s="128">
        <v>490</v>
      </c>
      <c r="AD36" s="127">
        <f>AA36/AB36*SUM(W36)*AC36</f>
        <v>34300</v>
      </c>
      <c r="AE36" s="129">
        <f>AD36+SUM(Z36)</f>
        <v>84362.95</v>
      </c>
      <c r="AF36" s="127">
        <f>AE36/SUM(W36)</f>
        <v>401.7283333333333</v>
      </c>
      <c r="AG36" s="116">
        <v>7</v>
      </c>
      <c r="AH36" s="127">
        <v>7</v>
      </c>
      <c r="AI36" s="127">
        <f t="shared" si="4"/>
        <v>0</v>
      </c>
    </row>
    <row r="37" spans="1:35">
      <c r="A37" s="118" t="s">
        <v>149</v>
      </c>
      <c r="B37" s="118"/>
      <c r="C37" s="111">
        <f>SUM(C3:C36)</f>
        <v>14661</v>
      </c>
      <c r="D37" s="119"/>
      <c r="E37" s="2"/>
      <c r="F37" s="27">
        <f>SUM(F3:F36)</f>
        <v>4124596.2750000013</v>
      </c>
      <c r="G37" s="97">
        <f>SUM(G3:G36)</f>
        <v>13160</v>
      </c>
      <c r="H37" s="98">
        <f>SUM(H3:H36)</f>
        <v>31676.5</v>
      </c>
      <c r="I37" s="98"/>
      <c r="J37" s="97">
        <f>SUM(J3:J36)</f>
        <v>2990783.9679946015</v>
      </c>
      <c r="K37" s="99">
        <f>J37+F37</f>
        <v>7115380.2429946028</v>
      </c>
      <c r="L37" s="106"/>
      <c r="M37" s="2">
        <f>SUM(M3:M36)</f>
        <v>1054</v>
      </c>
      <c r="N37" s="27">
        <f>SUM(N3:N36)</f>
        <v>568</v>
      </c>
      <c r="O37" s="27">
        <f>SUM(O3:O36)</f>
        <v>488</v>
      </c>
      <c r="S37" s="111">
        <f>SUM(S3:S36)</f>
        <v>31676.5</v>
      </c>
      <c r="U37" s="118" t="s">
        <v>149</v>
      </c>
      <c r="V37" s="118"/>
      <c r="W37" s="125">
        <f>SUM(W3:W36)</f>
        <v>17015.5</v>
      </c>
      <c r="X37" s="119"/>
      <c r="Y37" s="2"/>
      <c r="Z37" s="27">
        <f>SUM(Z3:Z36)</f>
        <v>4785647.9894999992</v>
      </c>
      <c r="AA37" s="97">
        <f>SUM(AA3:AA36)</f>
        <v>13160</v>
      </c>
      <c r="AB37" s="98">
        <f>SUM(AB3:AB36)</f>
        <v>31676.5</v>
      </c>
      <c r="AC37" s="98"/>
      <c r="AD37" s="97">
        <f>SUM(AD3:AD36)</f>
        <v>3457616.0320053985</v>
      </c>
      <c r="AE37" s="99">
        <f>AD37+Z37</f>
        <v>8243264.0215053977</v>
      </c>
      <c r="AF37" s="128"/>
      <c r="AG37" s="2">
        <f>SUM(AG3:AG36)</f>
        <v>1054</v>
      </c>
      <c r="AH37" s="27">
        <f>SUM(AH3:AH36)</f>
        <v>566</v>
      </c>
      <c r="AI37" s="27">
        <f>SUM(AI3:AI36)</f>
        <v>488</v>
      </c>
    </row>
    <row r="38" spans="1:35">
      <c r="A38" s="56"/>
      <c r="B38" s="56"/>
      <c r="C38" s="56"/>
      <c r="D38" s="56"/>
      <c r="E38" s="56"/>
      <c r="F38" s="56"/>
      <c r="G38" s="131" t="s">
        <v>156</v>
      </c>
      <c r="H38" s="131"/>
      <c r="I38">
        <f>K37*1%</f>
        <v>71153.802429946023</v>
      </c>
      <c r="J38" s="132" t="s">
        <v>197</v>
      </c>
      <c r="K38" s="39">
        <f>K37+I38</f>
        <v>7186534.0454245489</v>
      </c>
      <c r="L38" s="56"/>
      <c r="M38" s="56"/>
      <c r="N38" s="56"/>
      <c r="O38" s="56"/>
      <c r="U38" s="56"/>
      <c r="V38" s="56"/>
      <c r="W38" s="56"/>
      <c r="X38" s="56"/>
      <c r="Y38" s="56"/>
      <c r="Z38" s="56"/>
      <c r="AA38" s="56"/>
      <c r="AB38" s="56"/>
      <c r="AC38" s="558" t="s">
        <v>156</v>
      </c>
      <c r="AD38" s="558"/>
      <c r="AE38" s="76">
        <f>AE37*1%</f>
        <v>82432.64021505398</v>
      </c>
      <c r="AF38" s="56"/>
      <c r="AG38" s="56"/>
      <c r="AH38" s="56"/>
      <c r="AI38" s="56"/>
    </row>
    <row r="40" spans="1:35">
      <c r="N40" s="39"/>
    </row>
    <row r="42" spans="1:35">
      <c r="J42" s="39"/>
    </row>
    <row r="45" spans="1:35" ht="23.25">
      <c r="A45" s="123" t="s">
        <v>194</v>
      </c>
      <c r="B45" s="124" t="s">
        <v>140</v>
      </c>
      <c r="C45" s="105" t="s">
        <v>125</v>
      </c>
      <c r="D45" s="108" t="s">
        <v>126</v>
      </c>
      <c r="E45" s="122" t="s">
        <v>124</v>
      </c>
    </row>
    <row r="46" spans="1:35">
      <c r="A46" s="578" t="s">
        <v>157</v>
      </c>
      <c r="B46" s="112" t="s">
        <v>158</v>
      </c>
      <c r="C46" s="112">
        <v>31</v>
      </c>
      <c r="D46" s="109">
        <v>17</v>
      </c>
      <c r="E46" s="109">
        <f>C46-D46</f>
        <v>14</v>
      </c>
    </row>
    <row r="47" spans="1:35">
      <c r="A47" s="578"/>
      <c r="B47" s="112" t="s">
        <v>159</v>
      </c>
      <c r="C47" s="112">
        <v>33</v>
      </c>
      <c r="D47" s="109">
        <v>18</v>
      </c>
      <c r="E47" s="109">
        <f t="shared" ref="E47:E79" si="6">C47-D47</f>
        <v>15</v>
      </c>
    </row>
    <row r="48" spans="1:35">
      <c r="A48" s="578"/>
      <c r="B48" s="112" t="s">
        <v>150</v>
      </c>
      <c r="C48" s="112">
        <v>46</v>
      </c>
      <c r="D48" s="109">
        <v>24</v>
      </c>
      <c r="E48" s="109">
        <f t="shared" si="6"/>
        <v>22</v>
      </c>
    </row>
    <row r="49" spans="1:5">
      <c r="A49" s="578"/>
      <c r="B49" s="112" t="s">
        <v>160</v>
      </c>
      <c r="C49" s="112">
        <v>39</v>
      </c>
      <c r="D49" s="109">
        <v>20</v>
      </c>
      <c r="E49" s="109">
        <f t="shared" si="6"/>
        <v>19</v>
      </c>
    </row>
    <row r="50" spans="1:5">
      <c r="A50" s="578"/>
      <c r="B50" s="112" t="s">
        <v>95</v>
      </c>
      <c r="C50" s="112">
        <v>70</v>
      </c>
      <c r="D50" s="109">
        <v>36</v>
      </c>
      <c r="E50" s="109">
        <f t="shared" si="6"/>
        <v>34</v>
      </c>
    </row>
    <row r="51" spans="1:5">
      <c r="A51" s="578"/>
      <c r="B51" s="112" t="s">
        <v>110</v>
      </c>
      <c r="C51" s="112">
        <v>33</v>
      </c>
      <c r="D51" s="109">
        <v>17</v>
      </c>
      <c r="E51" s="109">
        <f t="shared" si="6"/>
        <v>16</v>
      </c>
    </row>
    <row r="52" spans="1:5">
      <c r="A52" s="578"/>
      <c r="B52" s="112" t="s">
        <v>161</v>
      </c>
      <c r="C52" s="112">
        <v>61</v>
      </c>
      <c r="D52" s="109">
        <v>31</v>
      </c>
      <c r="E52" s="109">
        <f t="shared" si="6"/>
        <v>30</v>
      </c>
    </row>
    <row r="53" spans="1:5">
      <c r="A53" s="578"/>
      <c r="B53" s="112" t="s">
        <v>162</v>
      </c>
      <c r="C53" s="112">
        <v>34</v>
      </c>
      <c r="D53" s="109">
        <v>18</v>
      </c>
      <c r="E53" s="109">
        <f t="shared" si="6"/>
        <v>16</v>
      </c>
    </row>
    <row r="54" spans="1:5">
      <c r="A54" s="578"/>
      <c r="B54" s="112" t="s">
        <v>101</v>
      </c>
      <c r="C54" s="112">
        <v>34</v>
      </c>
      <c r="D54" s="109">
        <v>18</v>
      </c>
      <c r="E54" s="109">
        <f t="shared" si="6"/>
        <v>16</v>
      </c>
    </row>
    <row r="55" spans="1:5">
      <c r="A55" s="578">
        <v>134</v>
      </c>
      <c r="B55" s="112" t="s">
        <v>101</v>
      </c>
      <c r="C55" s="112">
        <v>58</v>
      </c>
      <c r="D55" s="109">
        <v>30</v>
      </c>
      <c r="E55" s="109">
        <f t="shared" si="6"/>
        <v>28</v>
      </c>
    </row>
    <row r="56" spans="1:5">
      <c r="A56" s="578"/>
      <c r="B56" s="112" t="s">
        <v>100</v>
      </c>
      <c r="C56" s="112">
        <v>55</v>
      </c>
      <c r="D56" s="109">
        <v>28</v>
      </c>
      <c r="E56" s="109">
        <f t="shared" si="6"/>
        <v>27</v>
      </c>
    </row>
    <row r="57" spans="1:5">
      <c r="A57" s="578"/>
      <c r="B57" s="112" t="s">
        <v>114</v>
      </c>
      <c r="C57" s="112">
        <v>44</v>
      </c>
      <c r="D57" s="109">
        <v>23</v>
      </c>
      <c r="E57" s="109">
        <f t="shared" si="6"/>
        <v>21</v>
      </c>
    </row>
    <row r="58" spans="1:5">
      <c r="A58" s="578"/>
      <c r="B58" s="112" t="s">
        <v>112</v>
      </c>
      <c r="C58" s="112">
        <v>42</v>
      </c>
      <c r="D58" s="109">
        <v>23</v>
      </c>
      <c r="E58" s="109">
        <f t="shared" si="6"/>
        <v>19</v>
      </c>
    </row>
    <row r="59" spans="1:5">
      <c r="A59" s="578"/>
      <c r="B59" s="112" t="s">
        <v>160</v>
      </c>
      <c r="C59" s="112">
        <v>23</v>
      </c>
      <c r="D59" s="109">
        <v>13</v>
      </c>
      <c r="E59" s="109">
        <f t="shared" si="6"/>
        <v>10</v>
      </c>
    </row>
    <row r="60" spans="1:5">
      <c r="A60" s="578"/>
      <c r="B60" s="112" t="s">
        <v>186</v>
      </c>
      <c r="C60" s="112">
        <v>24</v>
      </c>
      <c r="D60" s="109">
        <v>12</v>
      </c>
      <c r="E60" s="109">
        <f t="shared" si="6"/>
        <v>12</v>
      </c>
    </row>
    <row r="61" spans="1:5">
      <c r="A61" s="578"/>
      <c r="B61" s="112" t="s">
        <v>151</v>
      </c>
      <c r="C61" s="112">
        <v>20</v>
      </c>
      <c r="D61" s="109">
        <v>10</v>
      </c>
      <c r="E61" s="109">
        <f t="shared" si="6"/>
        <v>10</v>
      </c>
    </row>
    <row r="62" spans="1:5">
      <c r="A62" s="578"/>
      <c r="B62" s="112" t="s">
        <v>95</v>
      </c>
      <c r="C62" s="112">
        <v>22</v>
      </c>
      <c r="D62" s="109">
        <v>11</v>
      </c>
      <c r="E62" s="109">
        <f t="shared" si="6"/>
        <v>11</v>
      </c>
    </row>
    <row r="63" spans="1:5">
      <c r="A63" s="578">
        <v>21146</v>
      </c>
      <c r="B63" s="112" t="s">
        <v>94</v>
      </c>
      <c r="C63" s="112">
        <v>8</v>
      </c>
      <c r="D63" s="109">
        <v>6</v>
      </c>
      <c r="E63" s="109">
        <f t="shared" si="6"/>
        <v>2</v>
      </c>
    </row>
    <row r="64" spans="1:5">
      <c r="A64" s="578"/>
      <c r="B64" s="112" t="s">
        <v>96</v>
      </c>
      <c r="C64" s="112">
        <v>7</v>
      </c>
      <c r="D64" s="109">
        <v>5</v>
      </c>
      <c r="E64" s="109">
        <f t="shared" si="6"/>
        <v>2</v>
      </c>
    </row>
    <row r="65" spans="1:5" ht="25.5">
      <c r="A65" s="114" t="s">
        <v>187</v>
      </c>
      <c r="B65" s="112" t="s">
        <v>188</v>
      </c>
      <c r="C65" s="112">
        <v>38</v>
      </c>
      <c r="D65" s="109">
        <v>20</v>
      </c>
      <c r="E65" s="109">
        <f t="shared" si="6"/>
        <v>18</v>
      </c>
    </row>
    <row r="66" spans="1:5">
      <c r="A66" s="578" t="s">
        <v>189</v>
      </c>
      <c r="B66" s="112" t="s">
        <v>101</v>
      </c>
      <c r="C66" s="112">
        <v>88</v>
      </c>
      <c r="D66" s="109">
        <v>44</v>
      </c>
      <c r="E66" s="109">
        <f t="shared" si="6"/>
        <v>44</v>
      </c>
    </row>
    <row r="67" spans="1:5">
      <c r="A67" s="578"/>
      <c r="B67" s="112" t="s">
        <v>110</v>
      </c>
      <c r="C67" s="112">
        <v>29</v>
      </c>
      <c r="D67" s="109">
        <v>15</v>
      </c>
      <c r="E67" s="109">
        <f t="shared" si="6"/>
        <v>14</v>
      </c>
    </row>
    <row r="68" spans="1:5">
      <c r="A68" s="578"/>
      <c r="B68" s="112" t="s">
        <v>95</v>
      </c>
      <c r="C68" s="112">
        <v>27</v>
      </c>
      <c r="D68" s="109">
        <v>14</v>
      </c>
      <c r="E68" s="109">
        <f t="shared" si="6"/>
        <v>13</v>
      </c>
    </row>
    <row r="69" spans="1:5">
      <c r="A69" s="578"/>
      <c r="B69" s="112" t="s">
        <v>102</v>
      </c>
      <c r="C69" s="112">
        <v>20</v>
      </c>
      <c r="D69" s="109">
        <v>10</v>
      </c>
      <c r="E69" s="109">
        <f t="shared" si="6"/>
        <v>10</v>
      </c>
    </row>
    <row r="70" spans="1:5">
      <c r="A70" s="578"/>
      <c r="B70" s="112" t="s">
        <v>114</v>
      </c>
      <c r="C70" s="112">
        <v>17</v>
      </c>
      <c r="D70" s="109">
        <v>9</v>
      </c>
      <c r="E70" s="109">
        <f t="shared" si="6"/>
        <v>8</v>
      </c>
    </row>
    <row r="71" spans="1:5">
      <c r="A71" s="578"/>
      <c r="B71" s="112" t="s">
        <v>100</v>
      </c>
      <c r="C71" s="112">
        <v>17</v>
      </c>
      <c r="D71" s="109">
        <v>9</v>
      </c>
      <c r="E71" s="109">
        <f t="shared" si="6"/>
        <v>8</v>
      </c>
    </row>
    <row r="72" spans="1:5">
      <c r="A72" s="578"/>
      <c r="B72" s="112" t="s">
        <v>190</v>
      </c>
      <c r="C72" s="112">
        <v>23</v>
      </c>
      <c r="D72" s="109">
        <v>12</v>
      </c>
      <c r="E72" s="109">
        <f t="shared" si="6"/>
        <v>11</v>
      </c>
    </row>
    <row r="73" spans="1:5">
      <c r="A73" s="114" t="s">
        <v>191</v>
      </c>
      <c r="B73" s="112" t="s">
        <v>98</v>
      </c>
      <c r="C73" s="112">
        <v>28</v>
      </c>
      <c r="D73" s="109">
        <v>20</v>
      </c>
      <c r="E73" s="109">
        <f t="shared" si="6"/>
        <v>8</v>
      </c>
    </row>
    <row r="74" spans="1:5">
      <c r="A74" s="578" t="s">
        <v>192</v>
      </c>
      <c r="B74" s="112" t="s">
        <v>94</v>
      </c>
      <c r="C74" s="112">
        <v>21</v>
      </c>
      <c r="D74" s="109">
        <v>14</v>
      </c>
      <c r="E74" s="109">
        <f t="shared" si="6"/>
        <v>7</v>
      </c>
    </row>
    <row r="75" spans="1:5">
      <c r="A75" s="578"/>
      <c r="B75" s="112" t="s">
        <v>102</v>
      </c>
      <c r="C75" s="112">
        <v>21</v>
      </c>
      <c r="D75" s="109">
        <v>14</v>
      </c>
      <c r="E75" s="109">
        <f t="shared" si="6"/>
        <v>7</v>
      </c>
    </row>
    <row r="76" spans="1:5">
      <c r="A76" s="114" t="s">
        <v>193</v>
      </c>
      <c r="B76" s="112" t="s">
        <v>96</v>
      </c>
      <c r="C76" s="112">
        <v>17</v>
      </c>
      <c r="D76" s="109">
        <v>9</v>
      </c>
      <c r="E76" s="109">
        <f t="shared" si="6"/>
        <v>8</v>
      </c>
    </row>
    <row r="77" spans="1:5">
      <c r="A77" s="579" t="s">
        <v>135</v>
      </c>
      <c r="B77" s="115" t="s">
        <v>94</v>
      </c>
      <c r="C77" s="115">
        <v>10</v>
      </c>
      <c r="D77" s="109">
        <v>5</v>
      </c>
      <c r="E77" s="109">
        <f t="shared" si="6"/>
        <v>5</v>
      </c>
    </row>
    <row r="78" spans="1:5">
      <c r="A78" s="579"/>
      <c r="B78" s="115" t="s">
        <v>96</v>
      </c>
      <c r="C78" s="115">
        <v>7</v>
      </c>
      <c r="D78" s="109">
        <v>4</v>
      </c>
      <c r="E78" s="109">
        <f t="shared" si="6"/>
        <v>3</v>
      </c>
    </row>
    <row r="79" spans="1:5">
      <c r="A79" s="117" t="s">
        <v>115</v>
      </c>
      <c r="B79" s="115" t="s">
        <v>103</v>
      </c>
      <c r="C79" s="115">
        <v>7</v>
      </c>
      <c r="D79" s="109">
        <v>7</v>
      </c>
      <c r="E79" s="109">
        <f t="shared" si="6"/>
        <v>0</v>
      </c>
    </row>
    <row r="80" spans="1:5">
      <c r="A80" s="118" t="s">
        <v>149</v>
      </c>
      <c r="B80" s="118"/>
      <c r="C80" s="2">
        <f>SUM(C46:C79)</f>
        <v>1054</v>
      </c>
      <c r="D80" s="27">
        <f>SUM(D46:D79)</f>
        <v>566</v>
      </c>
      <c r="E80" s="27">
        <f>SUM(E46:E79)</f>
        <v>488</v>
      </c>
    </row>
    <row r="81" spans="2:4">
      <c r="B81" s="2"/>
      <c r="C81" s="27"/>
      <c r="D81" s="27"/>
    </row>
  </sheetData>
  <mergeCells count="99">
    <mergeCell ref="AE34:AE35"/>
    <mergeCell ref="AF34:AF35"/>
    <mergeCell ref="AC38:AD38"/>
    <mergeCell ref="U34:U35"/>
    <mergeCell ref="AA34:AA35"/>
    <mergeCell ref="AB34:AB35"/>
    <mergeCell ref="AC34:AC35"/>
    <mergeCell ref="AD34:AD35"/>
    <mergeCell ref="AE23:AE29"/>
    <mergeCell ref="AF23:AF29"/>
    <mergeCell ref="U31:U32"/>
    <mergeCell ref="AA31:AA32"/>
    <mergeCell ref="AB31:AB32"/>
    <mergeCell ref="AC31:AC32"/>
    <mergeCell ref="AD31:AD32"/>
    <mergeCell ref="AE31:AE32"/>
    <mergeCell ref="AF31:AF32"/>
    <mergeCell ref="U23:U29"/>
    <mergeCell ref="AA23:AA29"/>
    <mergeCell ref="AB23:AB29"/>
    <mergeCell ref="AC23:AC29"/>
    <mergeCell ref="AD23:AD29"/>
    <mergeCell ref="AE12:AE19"/>
    <mergeCell ref="AF12:AF19"/>
    <mergeCell ref="U20:U21"/>
    <mergeCell ref="AA20:AA21"/>
    <mergeCell ref="AB20:AB21"/>
    <mergeCell ref="AC20:AC21"/>
    <mergeCell ref="AD20:AD21"/>
    <mergeCell ref="AE20:AE21"/>
    <mergeCell ref="AF20:AF21"/>
    <mergeCell ref="U12:U19"/>
    <mergeCell ref="AA12:AA19"/>
    <mergeCell ref="AB12:AB19"/>
    <mergeCell ref="AC12:AC19"/>
    <mergeCell ref="AD12:AD19"/>
    <mergeCell ref="U1:AG1"/>
    <mergeCell ref="U3:U11"/>
    <mergeCell ref="AA3:AA11"/>
    <mergeCell ref="AB3:AB11"/>
    <mergeCell ref="AC3:AC11"/>
    <mergeCell ref="AD3:AD11"/>
    <mergeCell ref="AE3:AE11"/>
    <mergeCell ref="AF3:AF11"/>
    <mergeCell ref="L31:L32"/>
    <mergeCell ref="J34:J35"/>
    <mergeCell ref="K34:K35"/>
    <mergeCell ref="L34:L35"/>
    <mergeCell ref="I34:I35"/>
    <mergeCell ref="H34:H35"/>
    <mergeCell ref="A23:A29"/>
    <mergeCell ref="A31:A32"/>
    <mergeCell ref="J3:J11"/>
    <mergeCell ref="J12:J19"/>
    <mergeCell ref="G31:G32"/>
    <mergeCell ref="G34:G35"/>
    <mergeCell ref="J31:J32"/>
    <mergeCell ref="G12:G19"/>
    <mergeCell ref="G23:G29"/>
    <mergeCell ref="H3:H11"/>
    <mergeCell ref="H12:H19"/>
    <mergeCell ref="H23:H29"/>
    <mergeCell ref="Q34:Q35"/>
    <mergeCell ref="I3:I11"/>
    <mergeCell ref="I12:I19"/>
    <mergeCell ref="I20:I21"/>
    <mergeCell ref="I23:I29"/>
    <mergeCell ref="I31:I32"/>
    <mergeCell ref="J23:J29"/>
    <mergeCell ref="K23:K29"/>
    <mergeCell ref="L20:L21"/>
    <mergeCell ref="K20:K21"/>
    <mergeCell ref="K3:K11"/>
    <mergeCell ref="L3:L11"/>
    <mergeCell ref="K12:K19"/>
    <mergeCell ref="L12:L19"/>
    <mergeCell ref="L23:L29"/>
    <mergeCell ref="K31:K32"/>
    <mergeCell ref="Q3:Q11"/>
    <mergeCell ref="Q12:Q19"/>
    <mergeCell ref="Q20:Q21"/>
    <mergeCell ref="Q23:Q29"/>
    <mergeCell ref="Q31:Q32"/>
    <mergeCell ref="A74:A75"/>
    <mergeCell ref="A77:A78"/>
    <mergeCell ref="A1:M1"/>
    <mergeCell ref="A46:A54"/>
    <mergeCell ref="A55:A62"/>
    <mergeCell ref="A63:A64"/>
    <mergeCell ref="A66:A72"/>
    <mergeCell ref="J20:J21"/>
    <mergeCell ref="A20:A21"/>
    <mergeCell ref="G20:G21"/>
    <mergeCell ref="H20:H21"/>
    <mergeCell ref="A3:A11"/>
    <mergeCell ref="A12:A19"/>
    <mergeCell ref="A34:A35"/>
    <mergeCell ref="G3:G11"/>
    <mergeCell ref="H31:H32"/>
  </mergeCells>
  <pageMargins left="0.14000000000000001" right="0.14000000000000001" top="0.42" bottom="0.14000000000000001" header="0.15" footer="0.14000000000000001"/>
  <pageSetup paperSize="9" scale="3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workbookViewId="0">
      <selection activeCell="J3" sqref="J3:J5"/>
    </sheetView>
  </sheetViews>
  <sheetFormatPr defaultRowHeight="15"/>
  <cols>
    <col min="1" max="1" width="11.5703125" customWidth="1"/>
    <col min="2" max="2" width="11.85546875" customWidth="1"/>
    <col min="3" max="3" width="8.28515625" customWidth="1"/>
    <col min="4" max="4" width="5.85546875" customWidth="1"/>
    <col min="5" max="5" width="6.85546875" customWidth="1"/>
    <col min="7" max="7" width="8.140625" customWidth="1"/>
    <col min="17" max="17" width="8.5703125" customWidth="1"/>
    <col min="18" max="18" width="11.7109375" customWidth="1"/>
    <col min="19" max="19" width="8" customWidth="1"/>
    <col min="20" max="20" width="9.140625" customWidth="1"/>
    <col min="21" max="21" width="8.85546875" customWidth="1"/>
    <col min="22" max="22" width="11" customWidth="1"/>
    <col min="23" max="23" width="7.85546875" customWidth="1"/>
  </cols>
  <sheetData>
    <row r="1" spans="1:30" ht="28.5">
      <c r="A1" s="605" t="s">
        <v>196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159">
        <v>44806</v>
      </c>
      <c r="Q1" s="605" t="s">
        <v>214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159">
        <v>44806</v>
      </c>
    </row>
    <row r="2" spans="1:30" ht="47.2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126</v>
      </c>
      <c r="Q2" s="100" t="s">
        <v>0</v>
      </c>
      <c r="R2" s="100" t="s">
        <v>140</v>
      </c>
      <c r="S2" s="101" t="s">
        <v>123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125</v>
      </c>
      <c r="AD2" s="105" t="s">
        <v>124</v>
      </c>
    </row>
    <row r="3" spans="1:30" ht="15" customHeight="1">
      <c r="A3" s="570">
        <v>21146</v>
      </c>
      <c r="B3" s="152" t="s">
        <v>94</v>
      </c>
      <c r="C3" s="152">
        <v>210</v>
      </c>
      <c r="D3" s="152">
        <v>2</v>
      </c>
      <c r="E3" s="157">
        <v>220</v>
      </c>
      <c r="F3" s="107">
        <f>C3*D3*E3</f>
        <v>92400</v>
      </c>
      <c r="G3" s="570">
        <v>150</v>
      </c>
      <c r="H3" s="583">
        <v>660</v>
      </c>
      <c r="I3" s="590">
        <v>571</v>
      </c>
      <c r="J3" s="582">
        <f>G3/H3*SUM(C3:C5)*I3</f>
        <v>62290.909090909096</v>
      </c>
      <c r="K3" s="591">
        <f>J3+SUM(F3:F5)</f>
        <v>278110.90909090912</v>
      </c>
      <c r="L3" s="582">
        <f>K3/SUM(C3:C5)</f>
        <v>579.39772727272737</v>
      </c>
      <c r="M3" s="152">
        <v>9</v>
      </c>
      <c r="N3" s="27">
        <v>7</v>
      </c>
      <c r="Q3" s="570">
        <v>21146</v>
      </c>
      <c r="R3" s="145" t="s">
        <v>94</v>
      </c>
      <c r="S3" s="1">
        <v>60</v>
      </c>
      <c r="T3" s="145">
        <v>2</v>
      </c>
      <c r="U3" s="149">
        <v>220</v>
      </c>
      <c r="V3" s="107">
        <f>S3*T3*U3</f>
        <v>26400</v>
      </c>
      <c r="W3" s="570">
        <v>150</v>
      </c>
      <c r="X3" s="583">
        <v>660</v>
      </c>
      <c r="Y3" s="590">
        <v>571</v>
      </c>
      <c r="Z3" s="582">
        <f>W3/X3*SUM(S3:S5)*Y3</f>
        <v>23359.090909090908</v>
      </c>
      <c r="AA3" s="591">
        <f>SUM(S3:S5)*AB3</f>
        <v>162000</v>
      </c>
      <c r="AB3" s="582">
        <v>900</v>
      </c>
      <c r="AC3" s="145">
        <v>9</v>
      </c>
      <c r="AD3" s="27">
        <v>2</v>
      </c>
    </row>
    <row r="4" spans="1:30">
      <c r="A4" s="570"/>
      <c r="B4" s="152" t="s">
        <v>95</v>
      </c>
      <c r="C4" s="152">
        <v>210</v>
      </c>
      <c r="D4" s="152">
        <v>2.1</v>
      </c>
      <c r="E4" s="157">
        <v>220</v>
      </c>
      <c r="F4" s="107">
        <f t="shared" ref="F4:F29" si="0">C4*D4*E4</f>
        <v>97020</v>
      </c>
      <c r="G4" s="570"/>
      <c r="H4" s="583"/>
      <c r="I4" s="590"/>
      <c r="J4" s="582"/>
      <c r="K4" s="591"/>
      <c r="L4" s="582"/>
      <c r="M4" s="152">
        <v>10</v>
      </c>
      <c r="N4" s="2">
        <v>7</v>
      </c>
      <c r="Q4" s="570"/>
      <c r="R4" s="145" t="s">
        <v>95</v>
      </c>
      <c r="S4" s="1">
        <v>90</v>
      </c>
      <c r="T4" s="145">
        <v>2.1</v>
      </c>
      <c r="U4" s="149">
        <v>220</v>
      </c>
      <c r="V4" s="107">
        <f t="shared" ref="V4:V29" si="1">S4*T4*U4</f>
        <v>41580</v>
      </c>
      <c r="W4" s="570"/>
      <c r="X4" s="583"/>
      <c r="Y4" s="590"/>
      <c r="Z4" s="582"/>
      <c r="AA4" s="591"/>
      <c r="AB4" s="582"/>
      <c r="AC4" s="145">
        <v>10</v>
      </c>
      <c r="AD4" s="27">
        <v>3</v>
      </c>
    </row>
    <row r="5" spans="1:30">
      <c r="A5" s="570"/>
      <c r="B5" s="152" t="s">
        <v>96</v>
      </c>
      <c r="C5" s="152">
        <v>60</v>
      </c>
      <c r="D5" s="152">
        <v>2</v>
      </c>
      <c r="E5" s="157">
        <v>220</v>
      </c>
      <c r="F5" s="107">
        <f t="shared" si="0"/>
        <v>26400</v>
      </c>
      <c r="G5" s="570"/>
      <c r="H5" s="583"/>
      <c r="I5" s="590"/>
      <c r="J5" s="582"/>
      <c r="K5" s="591"/>
      <c r="L5" s="582"/>
      <c r="M5" s="152">
        <v>3</v>
      </c>
      <c r="N5" s="27">
        <v>2</v>
      </c>
      <c r="Q5" s="570"/>
      <c r="R5" s="145" t="s">
        <v>96</v>
      </c>
      <c r="S5" s="1">
        <v>30</v>
      </c>
      <c r="T5" s="145">
        <v>2</v>
      </c>
      <c r="U5" s="149">
        <v>220</v>
      </c>
      <c r="V5" s="107">
        <f t="shared" si="1"/>
        <v>13200</v>
      </c>
      <c r="W5" s="570"/>
      <c r="X5" s="583"/>
      <c r="Y5" s="590"/>
      <c r="Z5" s="582"/>
      <c r="AA5" s="591"/>
      <c r="AB5" s="582"/>
      <c r="AC5" s="145">
        <v>3</v>
      </c>
      <c r="AD5" s="27">
        <v>1</v>
      </c>
    </row>
    <row r="6" spans="1:30">
      <c r="A6" s="570" t="s">
        <v>198</v>
      </c>
      <c r="B6" s="152" t="s">
        <v>94</v>
      </c>
      <c r="C6" s="152">
        <v>335</v>
      </c>
      <c r="D6" s="152">
        <v>1.95</v>
      </c>
      <c r="E6" s="157">
        <v>220</v>
      </c>
      <c r="F6" s="107">
        <f t="shared" si="0"/>
        <v>143715</v>
      </c>
      <c r="G6" s="570">
        <v>1500</v>
      </c>
      <c r="H6" s="583">
        <v>2211</v>
      </c>
      <c r="I6" s="590">
        <v>571</v>
      </c>
      <c r="J6" s="582">
        <f>G6/H6*SUM(C6:C9)*I6</f>
        <v>426506.78426051559</v>
      </c>
      <c r="K6" s="591">
        <f>J6+SUM(F6:F9)</f>
        <v>908669.78426051559</v>
      </c>
      <c r="L6" s="582">
        <f>K6/SUM(C6:C9)</f>
        <v>825.31315554996877</v>
      </c>
      <c r="M6" s="152">
        <v>22</v>
      </c>
      <c r="N6" s="2">
        <v>11</v>
      </c>
      <c r="Q6" s="570" t="s">
        <v>198</v>
      </c>
      <c r="R6" s="145" t="s">
        <v>94</v>
      </c>
      <c r="S6" s="1">
        <v>330</v>
      </c>
      <c r="T6" s="145">
        <v>1.95</v>
      </c>
      <c r="U6" s="149">
        <v>220</v>
      </c>
      <c r="V6" s="107">
        <f t="shared" si="1"/>
        <v>141570</v>
      </c>
      <c r="W6" s="570">
        <v>1500</v>
      </c>
      <c r="X6" s="583">
        <v>2211</v>
      </c>
      <c r="Y6" s="590">
        <v>571</v>
      </c>
      <c r="Z6" s="582">
        <f>W6/X6*SUM(S6:S9)*Y6</f>
        <v>429993.21573948441</v>
      </c>
      <c r="AA6" s="591">
        <f>Z6+SUM(V6:V9)</f>
        <v>916083.21573948441</v>
      </c>
      <c r="AB6" s="582">
        <f>AA6/SUM(S6:S9)</f>
        <v>825.30019435989584</v>
      </c>
      <c r="AC6" s="145">
        <v>22</v>
      </c>
      <c r="AD6" s="27">
        <v>11</v>
      </c>
    </row>
    <row r="7" spans="1:30">
      <c r="A7" s="570"/>
      <c r="B7" s="152" t="s">
        <v>95</v>
      </c>
      <c r="C7" s="152">
        <v>267</v>
      </c>
      <c r="D7" s="152">
        <v>2.0499999999999998</v>
      </c>
      <c r="E7" s="157">
        <v>220</v>
      </c>
      <c r="F7" s="107">
        <f t="shared" si="0"/>
        <v>120416.99999999999</v>
      </c>
      <c r="G7" s="570"/>
      <c r="H7" s="583"/>
      <c r="I7" s="590"/>
      <c r="J7" s="582"/>
      <c r="K7" s="591"/>
      <c r="L7" s="582"/>
      <c r="M7" s="152">
        <v>18</v>
      </c>
      <c r="N7" s="2">
        <v>9</v>
      </c>
      <c r="Q7" s="570"/>
      <c r="R7" s="145" t="s">
        <v>95</v>
      </c>
      <c r="S7" s="1">
        <v>270</v>
      </c>
      <c r="T7" s="145">
        <v>2.0499999999999998</v>
      </c>
      <c r="U7" s="149">
        <v>220</v>
      </c>
      <c r="V7" s="107">
        <f t="shared" si="1"/>
        <v>121770</v>
      </c>
      <c r="W7" s="570"/>
      <c r="X7" s="583"/>
      <c r="Y7" s="590"/>
      <c r="Z7" s="582"/>
      <c r="AA7" s="591"/>
      <c r="AB7" s="582"/>
      <c r="AC7" s="145">
        <v>18</v>
      </c>
      <c r="AD7" s="27">
        <v>9</v>
      </c>
    </row>
    <row r="8" spans="1:30">
      <c r="A8" s="570"/>
      <c r="B8" s="152" t="s">
        <v>96</v>
      </c>
      <c r="C8" s="152">
        <v>319</v>
      </c>
      <c r="D8" s="152">
        <v>1.95</v>
      </c>
      <c r="E8" s="157">
        <v>220</v>
      </c>
      <c r="F8" s="107">
        <f t="shared" si="0"/>
        <v>136851</v>
      </c>
      <c r="G8" s="570"/>
      <c r="H8" s="583"/>
      <c r="I8" s="590"/>
      <c r="J8" s="582"/>
      <c r="K8" s="591"/>
      <c r="L8" s="582"/>
      <c r="M8" s="152">
        <v>22</v>
      </c>
      <c r="N8" s="2">
        <v>11</v>
      </c>
      <c r="Q8" s="570"/>
      <c r="R8" s="145" t="s">
        <v>96</v>
      </c>
      <c r="S8" s="1">
        <v>330</v>
      </c>
      <c r="T8" s="145">
        <v>1.95</v>
      </c>
      <c r="U8" s="149">
        <v>220</v>
      </c>
      <c r="V8" s="107">
        <f t="shared" si="1"/>
        <v>141570</v>
      </c>
      <c r="W8" s="570"/>
      <c r="X8" s="583"/>
      <c r="Y8" s="590"/>
      <c r="Z8" s="582"/>
      <c r="AA8" s="591"/>
      <c r="AB8" s="582"/>
      <c r="AC8" s="145">
        <v>22</v>
      </c>
      <c r="AD8" s="27">
        <v>11</v>
      </c>
    </row>
    <row r="9" spans="1:30">
      <c r="A9" s="570"/>
      <c r="B9" s="152" t="s">
        <v>97</v>
      </c>
      <c r="C9" s="152">
        <v>180</v>
      </c>
      <c r="D9" s="152">
        <v>2.0499999999999998</v>
      </c>
      <c r="E9" s="157">
        <v>220</v>
      </c>
      <c r="F9" s="107">
        <f t="shared" si="0"/>
        <v>81179.999999999985</v>
      </c>
      <c r="G9" s="570"/>
      <c r="H9" s="583"/>
      <c r="I9" s="590"/>
      <c r="J9" s="582"/>
      <c r="K9" s="591"/>
      <c r="L9" s="582"/>
      <c r="M9" s="152">
        <v>12</v>
      </c>
      <c r="N9" s="2">
        <v>6</v>
      </c>
      <c r="Q9" s="570"/>
      <c r="R9" s="145" t="s">
        <v>97</v>
      </c>
      <c r="S9" s="1">
        <v>180</v>
      </c>
      <c r="T9" s="145">
        <v>2.0499999999999998</v>
      </c>
      <c r="U9" s="149">
        <v>220</v>
      </c>
      <c r="V9" s="107">
        <f t="shared" si="1"/>
        <v>81179.999999999985</v>
      </c>
      <c r="W9" s="570"/>
      <c r="X9" s="583"/>
      <c r="Y9" s="590"/>
      <c r="Z9" s="582"/>
      <c r="AA9" s="591"/>
      <c r="AB9" s="582"/>
      <c r="AC9" s="145">
        <v>12</v>
      </c>
      <c r="AD9" s="27">
        <v>6</v>
      </c>
    </row>
    <row r="10" spans="1:30">
      <c r="A10" s="604">
        <v>192</v>
      </c>
      <c r="B10" s="158" t="s">
        <v>219</v>
      </c>
      <c r="C10" s="158">
        <v>1645</v>
      </c>
      <c r="D10" s="158">
        <v>1.43</v>
      </c>
      <c r="E10" s="157">
        <v>220</v>
      </c>
      <c r="F10" s="107">
        <f t="shared" si="0"/>
        <v>517517</v>
      </c>
      <c r="G10" s="604">
        <v>4900</v>
      </c>
      <c r="H10" s="583">
        <v>10312</v>
      </c>
      <c r="I10" s="590">
        <v>571</v>
      </c>
      <c r="J10" s="582">
        <f>G10/H10*SUM(C10:C16)*I10</f>
        <v>1357437.3254460823</v>
      </c>
      <c r="K10" s="591">
        <f>J10+SUM(F10:F16)</f>
        <v>2909416.3254460823</v>
      </c>
      <c r="L10" s="582">
        <f>K10/SUM(C10:C16)</f>
        <v>581.53434448252699</v>
      </c>
      <c r="M10" s="152">
        <v>109</v>
      </c>
      <c r="N10" s="27">
        <v>55</v>
      </c>
      <c r="Q10" s="604">
        <v>192</v>
      </c>
      <c r="R10" s="151" t="s">
        <v>219</v>
      </c>
      <c r="S10" s="1">
        <v>1619</v>
      </c>
      <c r="T10" s="151">
        <v>1.43</v>
      </c>
      <c r="U10" s="149">
        <v>220</v>
      </c>
      <c r="V10" s="107">
        <f t="shared" si="1"/>
        <v>509337.4</v>
      </c>
      <c r="W10" s="604">
        <v>4900</v>
      </c>
      <c r="X10" s="583">
        <v>10312</v>
      </c>
      <c r="Y10" s="590">
        <v>571</v>
      </c>
      <c r="Z10" s="582">
        <f>W10/X10*SUM(S10:S16)*Y10</f>
        <v>1440462.6745539177</v>
      </c>
      <c r="AA10" s="591">
        <f>Z10+SUM(V10:V16)</f>
        <v>3077212.0745539176</v>
      </c>
      <c r="AB10" s="582">
        <f>AA10/SUM(S10:S16)</f>
        <v>579.62178838838156</v>
      </c>
      <c r="AC10" s="145">
        <v>109</v>
      </c>
      <c r="AD10" s="27">
        <v>54</v>
      </c>
    </row>
    <row r="11" spans="1:30">
      <c r="A11" s="604"/>
      <c r="B11" s="158" t="s">
        <v>220</v>
      </c>
      <c r="C11" s="158">
        <v>817</v>
      </c>
      <c r="D11" s="158">
        <v>1.43</v>
      </c>
      <c r="E11" s="157">
        <v>220</v>
      </c>
      <c r="F11" s="107">
        <f t="shared" si="0"/>
        <v>257028.19999999998</v>
      </c>
      <c r="G11" s="604"/>
      <c r="H11" s="583"/>
      <c r="I11" s="590"/>
      <c r="J11" s="582"/>
      <c r="K11" s="591"/>
      <c r="L11" s="582"/>
      <c r="M11" s="152">
        <v>54</v>
      </c>
      <c r="N11" s="2">
        <v>27</v>
      </c>
      <c r="Q11" s="604"/>
      <c r="R11" s="151" t="s">
        <v>220</v>
      </c>
      <c r="S11" s="1">
        <v>810</v>
      </c>
      <c r="T11" s="151">
        <v>1.43</v>
      </c>
      <c r="U11" s="149">
        <v>220</v>
      </c>
      <c r="V11" s="107">
        <f t="shared" si="1"/>
        <v>254826</v>
      </c>
      <c r="W11" s="604"/>
      <c r="X11" s="583"/>
      <c r="Y11" s="590"/>
      <c r="Z11" s="582"/>
      <c r="AA11" s="591"/>
      <c r="AB11" s="582"/>
      <c r="AC11" s="145">
        <v>54</v>
      </c>
      <c r="AD11" s="27">
        <v>27</v>
      </c>
    </row>
    <row r="12" spans="1:30">
      <c r="A12" s="604"/>
      <c r="B12" s="158" t="s">
        <v>221</v>
      </c>
      <c r="C12" s="158">
        <v>616</v>
      </c>
      <c r="D12" s="158">
        <v>1.3</v>
      </c>
      <c r="E12" s="157">
        <v>220</v>
      </c>
      <c r="F12" s="107">
        <f t="shared" si="0"/>
        <v>176176.00000000003</v>
      </c>
      <c r="G12" s="604"/>
      <c r="H12" s="583"/>
      <c r="I12" s="590"/>
      <c r="J12" s="582"/>
      <c r="K12" s="591"/>
      <c r="L12" s="582"/>
      <c r="M12" s="152">
        <v>43</v>
      </c>
      <c r="N12" s="27">
        <v>21</v>
      </c>
      <c r="Q12" s="604"/>
      <c r="R12" s="151" t="s">
        <v>221</v>
      </c>
      <c r="S12" s="1">
        <v>660</v>
      </c>
      <c r="T12" s="151">
        <v>1.3</v>
      </c>
      <c r="U12" s="149">
        <v>220</v>
      </c>
      <c r="V12" s="107">
        <f t="shared" si="1"/>
        <v>188760</v>
      </c>
      <c r="W12" s="604"/>
      <c r="X12" s="583"/>
      <c r="Y12" s="590"/>
      <c r="Z12" s="582"/>
      <c r="AA12" s="591"/>
      <c r="AB12" s="582"/>
      <c r="AC12" s="145">
        <v>43</v>
      </c>
      <c r="AD12" s="27">
        <v>22</v>
      </c>
    </row>
    <row r="13" spans="1:30">
      <c r="A13" s="604"/>
      <c r="B13" s="158" t="s">
        <v>222</v>
      </c>
      <c r="C13" s="158">
        <v>626</v>
      </c>
      <c r="D13" s="158">
        <v>1.43</v>
      </c>
      <c r="E13" s="157">
        <v>220</v>
      </c>
      <c r="F13" s="107">
        <f t="shared" si="0"/>
        <v>196939.59999999998</v>
      </c>
      <c r="G13" s="604"/>
      <c r="H13" s="583"/>
      <c r="I13" s="590"/>
      <c r="J13" s="582"/>
      <c r="K13" s="591"/>
      <c r="L13" s="582"/>
      <c r="M13" s="152">
        <v>42</v>
      </c>
      <c r="N13" s="2">
        <v>21</v>
      </c>
      <c r="Q13" s="604"/>
      <c r="R13" s="151" t="s">
        <v>222</v>
      </c>
      <c r="S13" s="1">
        <v>630</v>
      </c>
      <c r="T13" s="151">
        <v>1.43</v>
      </c>
      <c r="U13" s="149">
        <v>220</v>
      </c>
      <c r="V13" s="107">
        <f t="shared" si="1"/>
        <v>198198</v>
      </c>
      <c r="W13" s="604"/>
      <c r="X13" s="583"/>
      <c r="Y13" s="590"/>
      <c r="Z13" s="582"/>
      <c r="AA13" s="591"/>
      <c r="AB13" s="582"/>
      <c r="AC13" s="145">
        <v>42</v>
      </c>
      <c r="AD13" s="27">
        <v>21</v>
      </c>
    </row>
    <row r="14" spans="1:30">
      <c r="A14" s="604"/>
      <c r="B14" s="158" t="s">
        <v>223</v>
      </c>
      <c r="C14" s="158">
        <v>574</v>
      </c>
      <c r="D14" s="158">
        <v>1.43</v>
      </c>
      <c r="E14" s="157">
        <v>220</v>
      </c>
      <c r="F14" s="107">
        <f t="shared" si="0"/>
        <v>180580.4</v>
      </c>
      <c r="G14" s="604"/>
      <c r="H14" s="583"/>
      <c r="I14" s="590"/>
      <c r="J14" s="582"/>
      <c r="K14" s="591"/>
      <c r="L14" s="582"/>
      <c r="M14" s="152">
        <v>37</v>
      </c>
      <c r="N14" s="27">
        <v>19</v>
      </c>
      <c r="Q14" s="604"/>
      <c r="R14" s="151" t="s">
        <v>223</v>
      </c>
      <c r="S14" s="1">
        <v>540</v>
      </c>
      <c r="T14" s="151">
        <v>1.43</v>
      </c>
      <c r="U14" s="149">
        <v>220</v>
      </c>
      <c r="V14" s="107">
        <f t="shared" si="1"/>
        <v>169883.99999999997</v>
      </c>
      <c r="W14" s="604"/>
      <c r="X14" s="583"/>
      <c r="Y14" s="590"/>
      <c r="Z14" s="582"/>
      <c r="AA14" s="591"/>
      <c r="AB14" s="582"/>
      <c r="AC14" s="145">
        <v>37</v>
      </c>
      <c r="AD14" s="27">
        <v>18</v>
      </c>
    </row>
    <row r="15" spans="1:30">
      <c r="A15" s="604"/>
      <c r="B15" s="158" t="s">
        <v>224</v>
      </c>
      <c r="C15" s="158">
        <v>573</v>
      </c>
      <c r="D15" s="158">
        <v>1.43</v>
      </c>
      <c r="E15" s="157">
        <v>220</v>
      </c>
      <c r="F15" s="107">
        <f t="shared" si="0"/>
        <v>180265.8</v>
      </c>
      <c r="G15" s="604"/>
      <c r="H15" s="583"/>
      <c r="I15" s="590"/>
      <c r="J15" s="582"/>
      <c r="K15" s="591"/>
      <c r="L15" s="582"/>
      <c r="M15" s="152">
        <v>37</v>
      </c>
      <c r="N15" s="27">
        <v>19</v>
      </c>
      <c r="Q15" s="604"/>
      <c r="R15" s="151" t="s">
        <v>224</v>
      </c>
      <c r="S15" s="1">
        <v>540</v>
      </c>
      <c r="T15" s="151">
        <v>1.43</v>
      </c>
      <c r="U15" s="149">
        <v>220</v>
      </c>
      <c r="V15" s="107">
        <f t="shared" si="1"/>
        <v>169883.99999999997</v>
      </c>
      <c r="W15" s="604"/>
      <c r="X15" s="583"/>
      <c r="Y15" s="590"/>
      <c r="Z15" s="582"/>
      <c r="AA15" s="591"/>
      <c r="AB15" s="582"/>
      <c r="AC15" s="145">
        <v>37</v>
      </c>
      <c r="AD15" s="27">
        <v>18</v>
      </c>
    </row>
    <row r="16" spans="1:30">
      <c r="A16" s="604"/>
      <c r="B16" s="158" t="s">
        <v>114</v>
      </c>
      <c r="C16" s="158">
        <v>152</v>
      </c>
      <c r="D16" s="158">
        <v>1.3</v>
      </c>
      <c r="E16" s="157">
        <v>220</v>
      </c>
      <c r="F16" s="107">
        <f t="shared" si="0"/>
        <v>43472</v>
      </c>
      <c r="G16" s="604"/>
      <c r="H16" s="583"/>
      <c r="I16" s="590"/>
      <c r="J16" s="582"/>
      <c r="K16" s="591"/>
      <c r="L16" s="582"/>
      <c r="M16" s="152">
        <v>22</v>
      </c>
      <c r="N16" s="2">
        <v>5</v>
      </c>
      <c r="Q16" s="604"/>
      <c r="R16" s="151" t="s">
        <v>114</v>
      </c>
      <c r="S16" s="1">
        <v>510</v>
      </c>
      <c r="T16" s="151">
        <v>1.3</v>
      </c>
      <c r="U16" s="149">
        <v>220</v>
      </c>
      <c r="V16" s="107">
        <f t="shared" si="1"/>
        <v>145860</v>
      </c>
      <c r="W16" s="604"/>
      <c r="X16" s="583"/>
      <c r="Y16" s="590"/>
      <c r="Z16" s="582"/>
      <c r="AA16" s="591"/>
      <c r="AB16" s="582"/>
      <c r="AC16" s="145">
        <v>22</v>
      </c>
      <c r="AD16" s="27">
        <v>17</v>
      </c>
    </row>
    <row r="17" spans="1:30">
      <c r="A17" s="604" t="s">
        <v>206</v>
      </c>
      <c r="B17" s="158" t="s">
        <v>222</v>
      </c>
      <c r="C17" s="158">
        <v>883</v>
      </c>
      <c r="D17" s="158">
        <v>1.2</v>
      </c>
      <c r="E17" s="157">
        <v>220</v>
      </c>
      <c r="F17" s="107">
        <f t="shared" si="0"/>
        <v>233111.99999999997</v>
      </c>
      <c r="G17" s="604">
        <v>2400</v>
      </c>
      <c r="H17" s="583">
        <v>8345</v>
      </c>
      <c r="I17" s="590">
        <v>571</v>
      </c>
      <c r="J17" s="582">
        <f>G17/H17*SUM(C17:C23)*I17</f>
        <v>685610.54523666867</v>
      </c>
      <c r="K17" s="591">
        <f>J17+SUM(F17:F23)</f>
        <v>1787810.5452366685</v>
      </c>
      <c r="L17" s="582">
        <f>K17/SUM(C17:C23)</f>
        <v>428.21809466746549</v>
      </c>
      <c r="M17" s="152">
        <v>58</v>
      </c>
      <c r="N17" s="2">
        <v>29</v>
      </c>
      <c r="Q17" s="604" t="s">
        <v>206</v>
      </c>
      <c r="R17" s="151" t="s">
        <v>222</v>
      </c>
      <c r="S17" s="1">
        <v>870</v>
      </c>
      <c r="T17" s="151">
        <v>1.2</v>
      </c>
      <c r="U17" s="149">
        <v>220</v>
      </c>
      <c r="V17" s="107">
        <f t="shared" si="1"/>
        <v>229680</v>
      </c>
      <c r="W17" s="604">
        <v>2400</v>
      </c>
      <c r="X17" s="583">
        <v>8345</v>
      </c>
      <c r="Y17" s="590">
        <v>571</v>
      </c>
      <c r="Z17" s="582">
        <f>W17/X17*SUM(S17:S23)*Y17</f>
        <v>684789.45476333133</v>
      </c>
      <c r="AA17" s="591">
        <f>Z17+SUM(V17:V23)</f>
        <v>1785669.4547633315</v>
      </c>
      <c r="AB17" s="582">
        <f>AA17/SUM(S17:S23)</f>
        <v>428.21809466746555</v>
      </c>
      <c r="AC17" s="145">
        <v>58</v>
      </c>
      <c r="AD17" s="27">
        <v>29</v>
      </c>
    </row>
    <row r="18" spans="1:30">
      <c r="A18" s="604"/>
      <c r="B18" s="158" t="s">
        <v>225</v>
      </c>
      <c r="C18" s="158">
        <v>730</v>
      </c>
      <c r="D18" s="158">
        <v>1.2</v>
      </c>
      <c r="E18" s="157">
        <v>220</v>
      </c>
      <c r="F18" s="107">
        <f t="shared" si="0"/>
        <v>192720</v>
      </c>
      <c r="G18" s="604"/>
      <c r="H18" s="583"/>
      <c r="I18" s="590"/>
      <c r="J18" s="582"/>
      <c r="K18" s="591"/>
      <c r="L18" s="582"/>
      <c r="M18" s="152">
        <v>48</v>
      </c>
      <c r="N18" s="2">
        <v>24</v>
      </c>
      <c r="Q18" s="604"/>
      <c r="R18" s="151" t="s">
        <v>225</v>
      </c>
      <c r="S18" s="1">
        <v>720</v>
      </c>
      <c r="T18" s="151">
        <v>1.2</v>
      </c>
      <c r="U18" s="149">
        <v>220</v>
      </c>
      <c r="V18" s="107">
        <f t="shared" si="1"/>
        <v>190080</v>
      </c>
      <c r="W18" s="604"/>
      <c r="X18" s="583"/>
      <c r="Y18" s="590"/>
      <c r="Z18" s="582"/>
      <c r="AA18" s="591"/>
      <c r="AB18" s="582"/>
      <c r="AC18" s="145">
        <v>48</v>
      </c>
      <c r="AD18" s="27">
        <v>24</v>
      </c>
    </row>
    <row r="19" spans="1:30">
      <c r="A19" s="604"/>
      <c r="B19" s="158" t="s">
        <v>226</v>
      </c>
      <c r="C19" s="158">
        <v>588</v>
      </c>
      <c r="D19" s="158">
        <v>1.2</v>
      </c>
      <c r="E19" s="157">
        <v>220</v>
      </c>
      <c r="F19" s="107">
        <f t="shared" si="0"/>
        <v>155232</v>
      </c>
      <c r="G19" s="604"/>
      <c r="H19" s="583"/>
      <c r="I19" s="590"/>
      <c r="J19" s="582"/>
      <c r="K19" s="591"/>
      <c r="L19" s="582"/>
      <c r="M19" s="152">
        <v>40</v>
      </c>
      <c r="N19" s="2">
        <v>20</v>
      </c>
      <c r="Q19" s="604"/>
      <c r="R19" s="151" t="s">
        <v>226</v>
      </c>
      <c r="S19" s="1">
        <v>600</v>
      </c>
      <c r="T19" s="151">
        <v>1.2</v>
      </c>
      <c r="U19" s="149">
        <v>220</v>
      </c>
      <c r="V19" s="107">
        <f t="shared" si="1"/>
        <v>158400</v>
      </c>
      <c r="W19" s="604"/>
      <c r="X19" s="583"/>
      <c r="Y19" s="590"/>
      <c r="Z19" s="582"/>
      <c r="AA19" s="591"/>
      <c r="AB19" s="582"/>
      <c r="AC19" s="145">
        <v>40</v>
      </c>
      <c r="AD19" s="27">
        <v>20</v>
      </c>
    </row>
    <row r="20" spans="1:30">
      <c r="A20" s="604"/>
      <c r="B20" s="158" t="s">
        <v>227</v>
      </c>
      <c r="C20" s="158">
        <v>450</v>
      </c>
      <c r="D20" s="158">
        <v>1.2</v>
      </c>
      <c r="E20" s="157">
        <v>220</v>
      </c>
      <c r="F20" s="107">
        <f t="shared" si="0"/>
        <v>118800</v>
      </c>
      <c r="G20" s="604"/>
      <c r="H20" s="583"/>
      <c r="I20" s="590"/>
      <c r="J20" s="582"/>
      <c r="K20" s="591"/>
      <c r="L20" s="582"/>
      <c r="M20" s="152">
        <v>30</v>
      </c>
      <c r="N20" s="2">
        <v>15</v>
      </c>
      <c r="Q20" s="604"/>
      <c r="R20" s="151" t="s">
        <v>227</v>
      </c>
      <c r="S20" s="1">
        <v>450</v>
      </c>
      <c r="T20" s="151">
        <v>1.2</v>
      </c>
      <c r="U20" s="149">
        <v>220</v>
      </c>
      <c r="V20" s="107">
        <f t="shared" si="1"/>
        <v>118800</v>
      </c>
      <c r="W20" s="604"/>
      <c r="X20" s="583"/>
      <c r="Y20" s="590"/>
      <c r="Z20" s="582"/>
      <c r="AA20" s="591"/>
      <c r="AB20" s="582"/>
      <c r="AC20" s="145">
        <v>30</v>
      </c>
      <c r="AD20" s="27">
        <v>15</v>
      </c>
    </row>
    <row r="21" spans="1:30">
      <c r="A21" s="604"/>
      <c r="B21" s="158" t="s">
        <v>228</v>
      </c>
      <c r="C21" s="158">
        <v>478</v>
      </c>
      <c r="D21" s="158">
        <v>1.2</v>
      </c>
      <c r="E21" s="157">
        <v>220</v>
      </c>
      <c r="F21" s="107">
        <f t="shared" si="0"/>
        <v>126192</v>
      </c>
      <c r="G21" s="604"/>
      <c r="H21" s="583"/>
      <c r="I21" s="590"/>
      <c r="J21" s="582"/>
      <c r="K21" s="591"/>
      <c r="L21" s="582"/>
      <c r="M21" s="152">
        <v>32</v>
      </c>
      <c r="N21" s="2">
        <v>16</v>
      </c>
      <c r="Q21" s="604"/>
      <c r="R21" s="151" t="s">
        <v>228</v>
      </c>
      <c r="S21" s="1">
        <v>480</v>
      </c>
      <c r="T21" s="151">
        <v>1.2</v>
      </c>
      <c r="U21" s="149">
        <v>220</v>
      </c>
      <c r="V21" s="107">
        <f t="shared" si="1"/>
        <v>126720</v>
      </c>
      <c r="W21" s="604"/>
      <c r="X21" s="583"/>
      <c r="Y21" s="590"/>
      <c r="Z21" s="582"/>
      <c r="AA21" s="591"/>
      <c r="AB21" s="582"/>
      <c r="AC21" s="145">
        <v>32</v>
      </c>
      <c r="AD21" s="27">
        <v>16</v>
      </c>
    </row>
    <row r="22" spans="1:30">
      <c r="A22" s="604"/>
      <c r="B22" s="158" t="s">
        <v>229</v>
      </c>
      <c r="C22" s="158">
        <v>480</v>
      </c>
      <c r="D22" s="158">
        <v>1.2</v>
      </c>
      <c r="E22" s="157">
        <v>220</v>
      </c>
      <c r="F22" s="107">
        <f t="shared" si="0"/>
        <v>126720</v>
      </c>
      <c r="G22" s="604"/>
      <c r="H22" s="583"/>
      <c r="I22" s="590"/>
      <c r="J22" s="582"/>
      <c r="K22" s="591"/>
      <c r="L22" s="582"/>
      <c r="M22" s="152">
        <v>32</v>
      </c>
      <c r="N22" s="2">
        <v>16</v>
      </c>
      <c r="Q22" s="604"/>
      <c r="R22" s="151" t="s">
        <v>229</v>
      </c>
      <c r="S22" s="1">
        <v>480</v>
      </c>
      <c r="T22" s="151">
        <v>1.2</v>
      </c>
      <c r="U22" s="149">
        <v>220</v>
      </c>
      <c r="V22" s="107">
        <f t="shared" si="1"/>
        <v>126720</v>
      </c>
      <c r="W22" s="604"/>
      <c r="X22" s="583"/>
      <c r="Y22" s="590"/>
      <c r="Z22" s="582"/>
      <c r="AA22" s="591"/>
      <c r="AB22" s="582"/>
      <c r="AC22" s="145">
        <v>32</v>
      </c>
      <c r="AD22" s="27">
        <v>16</v>
      </c>
    </row>
    <row r="23" spans="1:30" ht="15" customHeight="1">
      <c r="A23" s="604"/>
      <c r="B23" s="158" t="s">
        <v>230</v>
      </c>
      <c r="C23" s="158">
        <v>566</v>
      </c>
      <c r="D23" s="158">
        <v>1.2</v>
      </c>
      <c r="E23" s="157">
        <v>220</v>
      </c>
      <c r="F23" s="107">
        <f t="shared" si="0"/>
        <v>149423.99999999997</v>
      </c>
      <c r="G23" s="604"/>
      <c r="H23" s="583"/>
      <c r="I23" s="590"/>
      <c r="J23" s="582"/>
      <c r="K23" s="591"/>
      <c r="L23" s="582"/>
      <c r="M23" s="152">
        <v>38</v>
      </c>
      <c r="N23" s="2">
        <v>19</v>
      </c>
      <c r="Q23" s="604"/>
      <c r="R23" s="151" t="s">
        <v>230</v>
      </c>
      <c r="S23" s="1">
        <v>570</v>
      </c>
      <c r="T23" s="151">
        <v>1.2</v>
      </c>
      <c r="U23" s="149">
        <v>220</v>
      </c>
      <c r="V23" s="107">
        <f t="shared" si="1"/>
        <v>150480</v>
      </c>
      <c r="W23" s="604"/>
      <c r="X23" s="583"/>
      <c r="Y23" s="590"/>
      <c r="Z23" s="582"/>
      <c r="AA23" s="591"/>
      <c r="AB23" s="582"/>
      <c r="AC23" s="145">
        <v>38</v>
      </c>
      <c r="AD23" s="27">
        <v>19</v>
      </c>
    </row>
    <row r="24" spans="1:30">
      <c r="A24" s="604">
        <v>134</v>
      </c>
      <c r="B24" s="158" t="s">
        <v>158</v>
      </c>
      <c r="C24" s="158">
        <v>1021</v>
      </c>
      <c r="D24" s="158">
        <v>1.18</v>
      </c>
      <c r="E24" s="157">
        <v>220</v>
      </c>
      <c r="F24" s="107">
        <f t="shared" si="0"/>
        <v>265051.59999999998</v>
      </c>
      <c r="G24" s="604">
        <v>3380</v>
      </c>
      <c r="H24" s="583">
        <v>7327.5</v>
      </c>
      <c r="I24" s="590">
        <v>571</v>
      </c>
      <c r="J24" s="582">
        <f>G24/H24*SUM(C24:C29)*I24</f>
        <v>976249.86284544528</v>
      </c>
      <c r="K24" s="591">
        <f>J24+SUM(F24:F29)</f>
        <v>1920754.9628454451</v>
      </c>
      <c r="L24" s="582">
        <f>K24/SUM(C24:C29)</f>
        <v>518.21258946322541</v>
      </c>
      <c r="M24" s="152">
        <v>68</v>
      </c>
      <c r="N24" s="2">
        <v>34</v>
      </c>
      <c r="Q24" s="604">
        <v>134</v>
      </c>
      <c r="R24" s="151" t="s">
        <v>158</v>
      </c>
      <c r="S24" s="1">
        <v>1020</v>
      </c>
      <c r="T24" s="151">
        <v>1.18</v>
      </c>
      <c r="U24" s="149">
        <v>220</v>
      </c>
      <c r="V24" s="107">
        <f t="shared" si="1"/>
        <v>264792</v>
      </c>
      <c r="W24" s="604">
        <v>3380</v>
      </c>
      <c r="X24" s="583">
        <v>7327.5</v>
      </c>
      <c r="Y24" s="590">
        <v>571</v>
      </c>
      <c r="Z24" s="582">
        <f>W24/X24*SUM(S24:S29)*Y24</f>
        <v>953730.13715455472</v>
      </c>
      <c r="AA24" s="591">
        <f>Z24+SUM(V24:V29)</f>
        <v>1876377.1371545547</v>
      </c>
      <c r="AB24" s="582">
        <f>AA24/SUM(S24:S29)</f>
        <v>518.19307847405548</v>
      </c>
      <c r="AC24" s="145">
        <v>68</v>
      </c>
      <c r="AD24" s="27">
        <v>34</v>
      </c>
    </row>
    <row r="25" spans="1:30">
      <c r="A25" s="604"/>
      <c r="B25" s="158" t="s">
        <v>101</v>
      </c>
      <c r="C25" s="158">
        <v>808.5</v>
      </c>
      <c r="D25" s="158">
        <v>1.05</v>
      </c>
      <c r="E25" s="157">
        <v>220</v>
      </c>
      <c r="F25" s="107">
        <f t="shared" si="0"/>
        <v>186763.50000000003</v>
      </c>
      <c r="G25" s="604"/>
      <c r="H25" s="583"/>
      <c r="I25" s="590"/>
      <c r="J25" s="582"/>
      <c r="K25" s="591"/>
      <c r="L25" s="582"/>
      <c r="M25" s="152">
        <v>53</v>
      </c>
      <c r="N25" s="27">
        <v>27</v>
      </c>
      <c r="Q25" s="604"/>
      <c r="R25" s="151" t="s">
        <v>101</v>
      </c>
      <c r="S25" s="1">
        <v>801</v>
      </c>
      <c r="T25" s="151">
        <v>1.05</v>
      </c>
      <c r="U25" s="149">
        <v>220</v>
      </c>
      <c r="V25" s="107">
        <f t="shared" si="1"/>
        <v>185031.00000000003</v>
      </c>
      <c r="W25" s="604"/>
      <c r="X25" s="583"/>
      <c r="Y25" s="590"/>
      <c r="Z25" s="582"/>
      <c r="AA25" s="591"/>
      <c r="AB25" s="582"/>
      <c r="AC25" s="145">
        <v>53</v>
      </c>
      <c r="AD25" s="27">
        <v>26</v>
      </c>
    </row>
    <row r="26" spans="1:30">
      <c r="A26" s="604"/>
      <c r="B26" s="158" t="s">
        <v>150</v>
      </c>
      <c r="C26" s="158">
        <v>753</v>
      </c>
      <c r="D26" s="158">
        <v>1.18</v>
      </c>
      <c r="E26" s="157">
        <v>220</v>
      </c>
      <c r="F26" s="107">
        <f t="shared" si="0"/>
        <v>195478.8</v>
      </c>
      <c r="G26" s="604"/>
      <c r="H26" s="583"/>
      <c r="I26" s="590"/>
      <c r="J26" s="582"/>
      <c r="K26" s="591"/>
      <c r="L26" s="582"/>
      <c r="M26" s="152">
        <v>49</v>
      </c>
      <c r="N26" s="27">
        <v>25</v>
      </c>
      <c r="Q26" s="604"/>
      <c r="R26" s="151" t="s">
        <v>150</v>
      </c>
      <c r="S26" s="1">
        <v>720</v>
      </c>
      <c r="T26" s="151">
        <v>1.18</v>
      </c>
      <c r="U26" s="149">
        <v>220</v>
      </c>
      <c r="V26" s="107">
        <f t="shared" si="1"/>
        <v>186911.99999999997</v>
      </c>
      <c r="W26" s="604"/>
      <c r="X26" s="583"/>
      <c r="Y26" s="590"/>
      <c r="Z26" s="582"/>
      <c r="AA26" s="591"/>
      <c r="AB26" s="582"/>
      <c r="AC26" s="145">
        <v>49</v>
      </c>
      <c r="AD26" s="27">
        <v>24</v>
      </c>
    </row>
    <row r="27" spans="1:30">
      <c r="A27" s="604"/>
      <c r="B27" s="158" t="s">
        <v>102</v>
      </c>
      <c r="C27" s="158">
        <v>352</v>
      </c>
      <c r="D27" s="158">
        <v>1.25</v>
      </c>
      <c r="E27" s="157">
        <v>220</v>
      </c>
      <c r="F27" s="107">
        <f t="shared" si="0"/>
        <v>96800</v>
      </c>
      <c r="G27" s="604"/>
      <c r="H27" s="583"/>
      <c r="I27" s="590"/>
      <c r="J27" s="582"/>
      <c r="K27" s="591"/>
      <c r="L27" s="582"/>
      <c r="M27" s="152">
        <v>24</v>
      </c>
      <c r="N27" s="2">
        <v>12</v>
      </c>
      <c r="Q27" s="604"/>
      <c r="R27" s="151" t="s">
        <v>102</v>
      </c>
      <c r="S27" s="1">
        <v>360</v>
      </c>
      <c r="T27" s="151">
        <v>1.25</v>
      </c>
      <c r="U27" s="149">
        <v>220</v>
      </c>
      <c r="V27" s="107">
        <f t="shared" si="1"/>
        <v>99000</v>
      </c>
      <c r="W27" s="604"/>
      <c r="X27" s="583"/>
      <c r="Y27" s="590"/>
      <c r="Z27" s="582"/>
      <c r="AA27" s="591"/>
      <c r="AB27" s="582"/>
      <c r="AC27" s="145">
        <v>24</v>
      </c>
      <c r="AD27" s="27">
        <v>12</v>
      </c>
    </row>
    <row r="28" spans="1:30">
      <c r="A28" s="604"/>
      <c r="B28" s="158" t="s">
        <v>114</v>
      </c>
      <c r="C28" s="158">
        <v>380</v>
      </c>
      <c r="D28" s="158">
        <v>1.18</v>
      </c>
      <c r="E28" s="157">
        <v>220</v>
      </c>
      <c r="F28" s="107">
        <f t="shared" si="0"/>
        <v>98648</v>
      </c>
      <c r="G28" s="604"/>
      <c r="H28" s="583"/>
      <c r="I28" s="590"/>
      <c r="J28" s="582"/>
      <c r="K28" s="591"/>
      <c r="L28" s="582"/>
      <c r="M28" s="152">
        <v>22</v>
      </c>
      <c r="N28" s="27">
        <v>13</v>
      </c>
      <c r="Q28" s="604"/>
      <c r="R28" s="151" t="s">
        <v>114</v>
      </c>
      <c r="S28" s="1">
        <v>360</v>
      </c>
      <c r="T28" s="151">
        <v>1.18</v>
      </c>
      <c r="U28" s="149">
        <v>220</v>
      </c>
      <c r="V28" s="107">
        <f t="shared" si="1"/>
        <v>93455.999999999985</v>
      </c>
      <c r="W28" s="604"/>
      <c r="X28" s="583"/>
      <c r="Y28" s="590"/>
      <c r="Z28" s="582"/>
      <c r="AA28" s="591"/>
      <c r="AB28" s="582"/>
      <c r="AC28" s="145">
        <v>25</v>
      </c>
      <c r="AD28" s="27">
        <v>12</v>
      </c>
    </row>
    <row r="29" spans="1:30">
      <c r="A29" s="604"/>
      <c r="B29" s="158" t="s">
        <v>231</v>
      </c>
      <c r="C29" s="158">
        <v>392</v>
      </c>
      <c r="D29" s="158">
        <v>1.18</v>
      </c>
      <c r="E29" s="157">
        <v>220</v>
      </c>
      <c r="F29" s="107">
        <f t="shared" si="0"/>
        <v>101763.2</v>
      </c>
      <c r="G29" s="604"/>
      <c r="H29" s="583"/>
      <c r="I29" s="590"/>
      <c r="J29" s="582"/>
      <c r="K29" s="591"/>
      <c r="L29" s="582"/>
      <c r="M29" s="152">
        <v>25</v>
      </c>
      <c r="N29" s="27">
        <v>10</v>
      </c>
      <c r="Q29" s="604"/>
      <c r="R29" s="151" t="s">
        <v>231</v>
      </c>
      <c r="S29" s="1">
        <v>360</v>
      </c>
      <c r="T29" s="151">
        <v>1.18</v>
      </c>
      <c r="U29" s="149">
        <v>220</v>
      </c>
      <c r="V29" s="107">
        <f t="shared" si="1"/>
        <v>93455.999999999985</v>
      </c>
      <c r="W29" s="604"/>
      <c r="X29" s="583"/>
      <c r="Y29" s="590"/>
      <c r="Z29" s="582"/>
      <c r="AA29" s="591"/>
      <c r="AB29" s="582"/>
      <c r="AC29" s="145">
        <v>25</v>
      </c>
      <c r="AD29" s="27">
        <v>15</v>
      </c>
    </row>
    <row r="30" spans="1:30">
      <c r="A30" s="155"/>
      <c r="B30" s="156"/>
      <c r="C30" s="156">
        <f>SUM(C3:C29)</f>
        <v>14465.5</v>
      </c>
      <c r="D30" s="156"/>
      <c r="E30" s="157"/>
      <c r="F30" s="107">
        <f>SUM(F3:F29)</f>
        <v>4296667.0999999996</v>
      </c>
      <c r="G30" s="156">
        <f>SUM(G3:G29)</f>
        <v>12330</v>
      </c>
      <c r="H30" s="156">
        <f>SUM(H3:H29)</f>
        <v>28855.5</v>
      </c>
      <c r="I30" s="157"/>
      <c r="J30" s="154">
        <f>SUM(J3:J29)</f>
        <v>3508095.4268796211</v>
      </c>
      <c r="K30" s="153">
        <f>SUM(K3:K29)</f>
        <v>7804762.5268796198</v>
      </c>
      <c r="L30" s="154"/>
      <c r="M30" s="156">
        <f>SUM(M3:M29)</f>
        <v>959</v>
      </c>
      <c r="N30" s="7">
        <f>SUM(N3:N29)</f>
        <v>480</v>
      </c>
      <c r="Q30" s="146"/>
      <c r="R30" s="148"/>
      <c r="S30" s="148">
        <f>SUM(S3:S29)</f>
        <v>14390</v>
      </c>
      <c r="T30" s="148"/>
      <c r="U30" s="149"/>
      <c r="V30" s="107">
        <f>SUM(V3:V29)</f>
        <v>4227546.3999999994</v>
      </c>
      <c r="W30" s="148">
        <f>SUM(W3:W29)</f>
        <v>12330</v>
      </c>
      <c r="X30" s="148">
        <f>SUM(X3:X29)</f>
        <v>28855.5</v>
      </c>
      <c r="Y30" s="149"/>
      <c r="Z30" s="147">
        <f>SUM(Z3:Z29)</f>
        <v>3532334.5731203789</v>
      </c>
      <c r="AA30" s="150">
        <f>SUM(AA3:AA29)</f>
        <v>7817341.8822112884</v>
      </c>
      <c r="AB30" s="147"/>
      <c r="AC30" s="148">
        <f>SUM(AC3:AC29)</f>
        <v>962</v>
      </c>
      <c r="AD30" s="7">
        <f>SUM(AD3:AD29)</f>
        <v>482</v>
      </c>
    </row>
    <row r="31" spans="1:30">
      <c r="I31" s="558" t="s">
        <v>232</v>
      </c>
      <c r="J31" s="558"/>
      <c r="K31" s="2">
        <f>K30*1%</f>
        <v>78047.625268796197</v>
      </c>
      <c r="Q31" s="52"/>
      <c r="R31" s="52"/>
      <c r="S31" s="52"/>
      <c r="T31" s="52"/>
      <c r="U31" s="52"/>
      <c r="V31" s="52"/>
      <c r="W31" s="52"/>
      <c r="X31" s="52"/>
      <c r="Y31" s="558" t="s">
        <v>232</v>
      </c>
      <c r="Z31" s="558"/>
      <c r="AA31" s="2">
        <f>AA30*1%</f>
        <v>78173.418822112886</v>
      </c>
      <c r="AB31" s="52"/>
      <c r="AC31" s="52"/>
      <c r="AD31" s="52"/>
    </row>
    <row r="32" spans="1:30">
      <c r="I32" s="558" t="s">
        <v>233</v>
      </c>
      <c r="J32" s="558"/>
      <c r="K32" s="27">
        <f>K31+K30</f>
        <v>7882810.1521484163</v>
      </c>
      <c r="O32">
        <f>S30+C30</f>
        <v>28855.5</v>
      </c>
      <c r="Q32" s="52"/>
      <c r="R32" s="52"/>
      <c r="S32" s="52"/>
      <c r="T32" s="52"/>
      <c r="U32" s="52"/>
      <c r="V32" s="52"/>
      <c r="W32" s="52"/>
      <c r="X32" s="52"/>
      <c r="Y32" s="558" t="s">
        <v>233</v>
      </c>
      <c r="Z32" s="558"/>
      <c r="AA32" s="27">
        <f>AA30+AA31</f>
        <v>7895515.3010334009</v>
      </c>
      <c r="AB32" s="52"/>
      <c r="AC32" s="52"/>
      <c r="AD32" s="52"/>
    </row>
    <row r="33" spans="1:25">
      <c r="Y33" t="s">
        <v>234</v>
      </c>
    </row>
    <row r="34" spans="1:25" ht="15" customHeight="1" thickBot="1">
      <c r="A34" s="606" t="s">
        <v>215</v>
      </c>
      <c r="B34" s="606"/>
      <c r="C34" s="606"/>
      <c r="D34" s="606"/>
      <c r="E34" s="606"/>
    </row>
    <row r="35" spans="1:25" ht="15" customHeight="1">
      <c r="A35" s="606"/>
      <c r="B35" s="606"/>
      <c r="C35" s="606"/>
      <c r="D35" s="606"/>
      <c r="E35" s="606"/>
      <c r="G35" s="603" t="s">
        <v>218</v>
      </c>
      <c r="H35" s="143" t="s">
        <v>217</v>
      </c>
    </row>
    <row r="36" spans="1:25" ht="56.25">
      <c r="A36" s="141" t="s">
        <v>216</v>
      </c>
      <c r="B36" s="141" t="s">
        <v>140</v>
      </c>
      <c r="C36" s="140" t="s">
        <v>125</v>
      </c>
      <c r="D36" s="140" t="s">
        <v>126</v>
      </c>
      <c r="E36" s="140" t="s">
        <v>124</v>
      </c>
      <c r="G36" s="587"/>
      <c r="H36" s="137"/>
    </row>
    <row r="37" spans="1:25">
      <c r="A37" s="570">
        <v>21146</v>
      </c>
      <c r="B37" s="133" t="s">
        <v>94</v>
      </c>
      <c r="C37" s="138">
        <v>9</v>
      </c>
      <c r="D37" s="58">
        <v>9</v>
      </c>
      <c r="E37" s="58">
        <v>0</v>
      </c>
      <c r="G37" s="137" t="s">
        <v>94</v>
      </c>
      <c r="H37" s="137">
        <v>9</v>
      </c>
      <c r="M37" s="39"/>
    </row>
    <row r="38" spans="1:25">
      <c r="A38" s="570"/>
      <c r="B38" s="133" t="s">
        <v>95</v>
      </c>
      <c r="C38" s="138">
        <v>10</v>
      </c>
      <c r="D38" s="23">
        <v>10</v>
      </c>
      <c r="E38" s="58">
        <v>0</v>
      </c>
      <c r="G38" s="137" t="s">
        <v>95</v>
      </c>
      <c r="H38" s="137">
        <v>10</v>
      </c>
    </row>
    <row r="39" spans="1:25">
      <c r="A39" s="570"/>
      <c r="B39" s="133" t="s">
        <v>96</v>
      </c>
      <c r="C39" s="138">
        <v>3</v>
      </c>
      <c r="D39" s="58">
        <v>3</v>
      </c>
      <c r="E39" s="58">
        <v>0</v>
      </c>
      <c r="G39" s="137" t="s">
        <v>96</v>
      </c>
      <c r="H39" s="137">
        <v>3</v>
      </c>
    </row>
    <row r="40" spans="1:25">
      <c r="A40" s="570" t="s">
        <v>198</v>
      </c>
      <c r="B40" s="133" t="s">
        <v>94</v>
      </c>
      <c r="C40" s="138">
        <v>22</v>
      </c>
      <c r="D40" s="23">
        <v>11</v>
      </c>
      <c r="E40" s="58">
        <v>11</v>
      </c>
      <c r="G40" s="137" t="s">
        <v>94</v>
      </c>
      <c r="H40" s="137">
        <v>22</v>
      </c>
    </row>
    <row r="41" spans="1:25">
      <c r="A41" s="570"/>
      <c r="B41" s="133" t="s">
        <v>95</v>
      </c>
      <c r="C41" s="138">
        <v>18</v>
      </c>
      <c r="D41" s="23">
        <v>9</v>
      </c>
      <c r="E41" s="58">
        <f t="shared" ref="E41:E43" si="2">C41-D41</f>
        <v>9</v>
      </c>
      <c r="G41" s="137" t="s">
        <v>95</v>
      </c>
      <c r="H41" s="137">
        <v>18</v>
      </c>
    </row>
    <row r="42" spans="1:25">
      <c r="A42" s="570"/>
      <c r="B42" s="133" t="s">
        <v>96</v>
      </c>
      <c r="C42" s="138">
        <v>22</v>
      </c>
      <c r="D42" s="23">
        <v>11</v>
      </c>
      <c r="E42" s="58">
        <f t="shared" si="2"/>
        <v>11</v>
      </c>
      <c r="G42" s="137" t="s">
        <v>96</v>
      </c>
      <c r="H42" s="137">
        <v>22</v>
      </c>
    </row>
    <row r="43" spans="1:25">
      <c r="A43" s="570"/>
      <c r="B43" s="133" t="s">
        <v>97</v>
      </c>
      <c r="C43" s="138">
        <v>12</v>
      </c>
      <c r="D43" s="23">
        <v>6</v>
      </c>
      <c r="E43" s="58">
        <f t="shared" si="2"/>
        <v>6</v>
      </c>
      <c r="G43" s="137" t="s">
        <v>97</v>
      </c>
      <c r="H43" s="137">
        <v>12</v>
      </c>
    </row>
    <row r="44" spans="1:25">
      <c r="A44" s="604">
        <v>192</v>
      </c>
      <c r="B44" s="136" t="s">
        <v>199</v>
      </c>
      <c r="C44" s="138">
        <v>109</v>
      </c>
      <c r="D44" s="58">
        <v>55</v>
      </c>
      <c r="E44" s="58">
        <v>54</v>
      </c>
      <c r="G44" s="64" t="s">
        <v>219</v>
      </c>
      <c r="H44" s="137">
        <v>109</v>
      </c>
    </row>
    <row r="45" spans="1:25">
      <c r="A45" s="604"/>
      <c r="B45" s="136" t="s">
        <v>200</v>
      </c>
      <c r="C45" s="138">
        <v>54</v>
      </c>
      <c r="D45" s="23">
        <v>27</v>
      </c>
      <c r="E45" s="58">
        <f t="shared" ref="E45" si="3">C45-D45</f>
        <v>27</v>
      </c>
      <c r="G45" s="64" t="s">
        <v>220</v>
      </c>
      <c r="H45" s="137">
        <v>54</v>
      </c>
    </row>
    <row r="46" spans="1:25">
      <c r="A46" s="604"/>
      <c r="B46" s="136" t="s">
        <v>201</v>
      </c>
      <c r="C46" s="138">
        <v>43</v>
      </c>
      <c r="D46" s="58">
        <v>22</v>
      </c>
      <c r="E46" s="58">
        <v>21</v>
      </c>
      <c r="G46" s="64" t="s">
        <v>221</v>
      </c>
      <c r="H46" s="137">
        <v>43</v>
      </c>
    </row>
    <row r="47" spans="1:25">
      <c r="A47" s="604"/>
      <c r="B47" s="136" t="s">
        <v>202</v>
      </c>
      <c r="C47" s="138">
        <v>42</v>
      </c>
      <c r="D47" s="23">
        <v>21</v>
      </c>
      <c r="E47" s="58">
        <f t="shared" ref="E47" si="4">C47-D47</f>
        <v>21</v>
      </c>
      <c r="G47" s="64" t="s">
        <v>222</v>
      </c>
      <c r="H47" s="137">
        <v>42</v>
      </c>
    </row>
    <row r="48" spans="1:25">
      <c r="A48" s="604"/>
      <c r="B48" s="136" t="s">
        <v>203</v>
      </c>
      <c r="C48" s="138">
        <v>37</v>
      </c>
      <c r="D48" s="58">
        <v>19</v>
      </c>
      <c r="E48" s="58">
        <v>18</v>
      </c>
      <c r="G48" s="64" t="s">
        <v>223</v>
      </c>
      <c r="H48" s="137">
        <v>37</v>
      </c>
    </row>
    <row r="49" spans="1:8">
      <c r="A49" s="604"/>
      <c r="B49" s="136" t="s">
        <v>204</v>
      </c>
      <c r="C49" s="138">
        <v>37</v>
      </c>
      <c r="D49" s="58">
        <v>19</v>
      </c>
      <c r="E49" s="58">
        <v>18</v>
      </c>
      <c r="G49" s="64" t="s">
        <v>224</v>
      </c>
      <c r="H49" s="137">
        <v>37</v>
      </c>
    </row>
    <row r="50" spans="1:8">
      <c r="A50" s="604"/>
      <c r="B50" s="136" t="s">
        <v>205</v>
      </c>
      <c r="C50" s="138">
        <v>22</v>
      </c>
      <c r="D50" s="23">
        <v>11</v>
      </c>
      <c r="E50" s="58">
        <f t="shared" ref="E50:E58" si="5">C50-D50</f>
        <v>11</v>
      </c>
      <c r="G50" s="64" t="s">
        <v>114</v>
      </c>
      <c r="H50" s="137">
        <v>22</v>
      </c>
    </row>
    <row r="51" spans="1:8">
      <c r="A51" s="604" t="s">
        <v>206</v>
      </c>
      <c r="B51" s="136" t="s">
        <v>202</v>
      </c>
      <c r="C51" s="138">
        <v>58</v>
      </c>
      <c r="D51" s="23">
        <v>29</v>
      </c>
      <c r="E51" s="58">
        <f t="shared" si="5"/>
        <v>29</v>
      </c>
      <c r="G51" s="64" t="s">
        <v>222</v>
      </c>
      <c r="H51" s="137">
        <v>58</v>
      </c>
    </row>
    <row r="52" spans="1:8">
      <c r="A52" s="604"/>
      <c r="B52" s="136" t="s">
        <v>207</v>
      </c>
      <c r="C52" s="138">
        <v>48</v>
      </c>
      <c r="D52" s="23">
        <v>24</v>
      </c>
      <c r="E52" s="58">
        <f t="shared" si="5"/>
        <v>24</v>
      </c>
      <c r="G52" s="64" t="s">
        <v>225</v>
      </c>
      <c r="H52" s="137">
        <v>48</v>
      </c>
    </row>
    <row r="53" spans="1:8">
      <c r="A53" s="604"/>
      <c r="B53" s="136" t="s">
        <v>208</v>
      </c>
      <c r="C53" s="138">
        <v>40</v>
      </c>
      <c r="D53" s="23">
        <v>20</v>
      </c>
      <c r="E53" s="58">
        <f t="shared" si="5"/>
        <v>20</v>
      </c>
      <c r="G53" s="64" t="s">
        <v>226</v>
      </c>
      <c r="H53" s="137">
        <v>40</v>
      </c>
    </row>
    <row r="54" spans="1:8">
      <c r="A54" s="604"/>
      <c r="B54" s="136" t="s">
        <v>209</v>
      </c>
      <c r="C54" s="138">
        <v>30</v>
      </c>
      <c r="D54" s="23">
        <v>15</v>
      </c>
      <c r="E54" s="58">
        <f t="shared" si="5"/>
        <v>15</v>
      </c>
      <c r="G54" s="64" t="s">
        <v>227</v>
      </c>
      <c r="H54" s="137">
        <v>30</v>
      </c>
    </row>
    <row r="55" spans="1:8">
      <c r="A55" s="604"/>
      <c r="B55" s="136" t="s">
        <v>205</v>
      </c>
      <c r="C55" s="138">
        <v>32</v>
      </c>
      <c r="D55" s="23">
        <v>16</v>
      </c>
      <c r="E55" s="58">
        <f t="shared" si="5"/>
        <v>16</v>
      </c>
      <c r="G55" s="64" t="s">
        <v>228</v>
      </c>
      <c r="H55" s="137">
        <v>32</v>
      </c>
    </row>
    <row r="56" spans="1:8">
      <c r="A56" s="604"/>
      <c r="B56" s="136" t="s">
        <v>210</v>
      </c>
      <c r="C56" s="138">
        <v>32</v>
      </c>
      <c r="D56" s="23">
        <v>16</v>
      </c>
      <c r="E56" s="58">
        <f t="shared" si="5"/>
        <v>16</v>
      </c>
      <c r="G56" s="64" t="s">
        <v>229</v>
      </c>
      <c r="H56" s="137">
        <v>32</v>
      </c>
    </row>
    <row r="57" spans="1:8">
      <c r="A57" s="604"/>
      <c r="B57" s="136" t="s">
        <v>211</v>
      </c>
      <c r="C57" s="138">
        <v>38</v>
      </c>
      <c r="D57" s="23">
        <v>19</v>
      </c>
      <c r="E57" s="58">
        <f t="shared" si="5"/>
        <v>19</v>
      </c>
      <c r="G57" s="64" t="s">
        <v>230</v>
      </c>
      <c r="H57" s="137">
        <v>38</v>
      </c>
    </row>
    <row r="58" spans="1:8">
      <c r="A58" s="604">
        <v>134</v>
      </c>
      <c r="B58" s="136" t="s">
        <v>212</v>
      </c>
      <c r="C58" s="138">
        <v>68</v>
      </c>
      <c r="D58" s="23">
        <v>34</v>
      </c>
      <c r="E58" s="58">
        <f t="shared" si="5"/>
        <v>34</v>
      </c>
      <c r="G58" s="64" t="s">
        <v>158</v>
      </c>
      <c r="H58" s="137">
        <v>68</v>
      </c>
    </row>
    <row r="59" spans="1:8">
      <c r="A59" s="604"/>
      <c r="B59" s="136" t="s">
        <v>205</v>
      </c>
      <c r="C59" s="138">
        <v>53</v>
      </c>
      <c r="D59" s="58">
        <v>27</v>
      </c>
      <c r="E59" s="58">
        <v>26</v>
      </c>
      <c r="G59" s="64" t="s">
        <v>101</v>
      </c>
      <c r="H59" s="137">
        <v>53</v>
      </c>
    </row>
    <row r="60" spans="1:8">
      <c r="A60" s="604"/>
      <c r="B60" s="136" t="s">
        <v>208</v>
      </c>
      <c r="C60" s="138">
        <v>49</v>
      </c>
      <c r="D60" s="58">
        <v>25</v>
      </c>
      <c r="E60" s="58">
        <v>24</v>
      </c>
      <c r="G60" s="64" t="s">
        <v>150</v>
      </c>
      <c r="H60" s="137">
        <v>49</v>
      </c>
    </row>
    <row r="61" spans="1:8">
      <c r="A61" s="604"/>
      <c r="B61" s="136" t="s">
        <v>203</v>
      </c>
      <c r="C61" s="138">
        <v>24</v>
      </c>
      <c r="D61" s="23">
        <v>12</v>
      </c>
      <c r="E61" s="58">
        <f t="shared" ref="E61" si="6">C61-D61</f>
        <v>12</v>
      </c>
      <c r="G61" s="64" t="s">
        <v>102</v>
      </c>
      <c r="H61" s="137">
        <v>24</v>
      </c>
    </row>
    <row r="62" spans="1:8">
      <c r="A62" s="604"/>
      <c r="B62" s="136" t="s">
        <v>213</v>
      </c>
      <c r="C62" s="138">
        <v>25</v>
      </c>
      <c r="D62" s="58">
        <v>13</v>
      </c>
      <c r="E62" s="58">
        <v>12</v>
      </c>
      <c r="G62" s="64" t="s">
        <v>114</v>
      </c>
      <c r="H62" s="137">
        <v>25</v>
      </c>
    </row>
    <row r="63" spans="1:8">
      <c r="A63" s="604"/>
      <c r="B63" s="136" t="s">
        <v>201</v>
      </c>
      <c r="C63" s="138">
        <v>25</v>
      </c>
      <c r="D63" s="58">
        <v>13</v>
      </c>
      <c r="E63" s="58">
        <v>12</v>
      </c>
      <c r="G63" s="64" t="s">
        <v>231</v>
      </c>
      <c r="H63" s="137">
        <v>25</v>
      </c>
    </row>
    <row r="64" spans="1:8" ht="15.75" thickBot="1">
      <c r="A64" s="134" t="s">
        <v>149</v>
      </c>
      <c r="B64" s="135"/>
      <c r="C64" s="139">
        <f>SUM(C37:C63)</f>
        <v>962</v>
      </c>
      <c r="D64" s="58">
        <f>SUM(D37:D63)</f>
        <v>496</v>
      </c>
      <c r="E64" s="58">
        <f>SUM(E37:E63)</f>
        <v>466</v>
      </c>
      <c r="G64" s="144"/>
      <c r="H64" s="142">
        <f>SUM(H37:H63)</f>
        <v>962</v>
      </c>
    </row>
  </sheetData>
  <mergeCells count="83">
    <mergeCell ref="A37:A39"/>
    <mergeCell ref="A40:A43"/>
    <mergeCell ref="A44:A50"/>
    <mergeCell ref="A51:A57"/>
    <mergeCell ref="A58:A63"/>
    <mergeCell ref="A34:E35"/>
    <mergeCell ref="AA17:AA23"/>
    <mergeCell ref="AB17:AB23"/>
    <mergeCell ref="Q24:Q29"/>
    <mergeCell ref="W24:W29"/>
    <mergeCell ref="X24:X29"/>
    <mergeCell ref="Y24:Y29"/>
    <mergeCell ref="Z24:Z29"/>
    <mergeCell ref="AA24:AA29"/>
    <mergeCell ref="AB24:AB29"/>
    <mergeCell ref="Q17:Q23"/>
    <mergeCell ref="W17:W23"/>
    <mergeCell ref="X17:X23"/>
    <mergeCell ref="Y17:Y23"/>
    <mergeCell ref="Z17:Z23"/>
    <mergeCell ref="H17:H23"/>
    <mergeCell ref="AA6:AA9"/>
    <mergeCell ref="AB6:AB9"/>
    <mergeCell ref="Q10:Q16"/>
    <mergeCell ref="W10:W16"/>
    <mergeCell ref="X10:X16"/>
    <mergeCell ref="Y10:Y16"/>
    <mergeCell ref="Z10:Z16"/>
    <mergeCell ref="AA10:AA16"/>
    <mergeCell ref="AB10:AB16"/>
    <mergeCell ref="Q6:Q9"/>
    <mergeCell ref="W6:W9"/>
    <mergeCell ref="X6:X9"/>
    <mergeCell ref="Y6:Y9"/>
    <mergeCell ref="Z6:Z9"/>
    <mergeCell ref="Q1:AC1"/>
    <mergeCell ref="Q3:Q5"/>
    <mergeCell ref="W3:W5"/>
    <mergeCell ref="X3:X5"/>
    <mergeCell ref="Y3:Y5"/>
    <mergeCell ref="Z3:Z5"/>
    <mergeCell ref="AA3:AA5"/>
    <mergeCell ref="AB3:AB5"/>
    <mergeCell ref="L10:L16"/>
    <mergeCell ref="G17:G23"/>
    <mergeCell ref="G24:G29"/>
    <mergeCell ref="A3:A5"/>
    <mergeCell ref="A6:A9"/>
    <mergeCell ref="A10:A16"/>
    <mergeCell ref="A17:A23"/>
    <mergeCell ref="A24:A29"/>
    <mergeCell ref="I24:I29"/>
    <mergeCell ref="H24:H29"/>
    <mergeCell ref="A1:M1"/>
    <mergeCell ref="H3:H5"/>
    <mergeCell ref="H6:H9"/>
    <mergeCell ref="G3:G5"/>
    <mergeCell ref="G6:G9"/>
    <mergeCell ref="J3:J5"/>
    <mergeCell ref="L3:L5"/>
    <mergeCell ref="L6:L9"/>
    <mergeCell ref="G35:G36"/>
    <mergeCell ref="K3:K5"/>
    <mergeCell ref="K6:K9"/>
    <mergeCell ref="K10:K16"/>
    <mergeCell ref="K17:K23"/>
    <mergeCell ref="K24:K29"/>
    <mergeCell ref="J6:J9"/>
    <mergeCell ref="J10:J16"/>
    <mergeCell ref="J17:J23"/>
    <mergeCell ref="J24:J29"/>
    <mergeCell ref="I3:I5"/>
    <mergeCell ref="I6:I9"/>
    <mergeCell ref="I10:I16"/>
    <mergeCell ref="I17:I23"/>
    <mergeCell ref="H10:H16"/>
    <mergeCell ref="G10:G16"/>
    <mergeCell ref="Y31:Z31"/>
    <mergeCell ref="Y32:Z32"/>
    <mergeCell ref="L17:L23"/>
    <mergeCell ref="L24:L29"/>
    <mergeCell ref="I31:J31"/>
    <mergeCell ref="I32:J32"/>
  </mergeCells>
  <pageMargins left="0.19" right="0.14000000000000001" top="0.15" bottom="0.15" header="0.15" footer="0.15"/>
  <pageSetup paperSize="9" scale="110" orientation="landscape" r:id="rId1"/>
  <ignoredErrors>
    <ignoredError sqref="L10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workbookViewId="0">
      <selection activeCell="L7" sqref="L7:L8"/>
    </sheetView>
  </sheetViews>
  <sheetFormatPr defaultRowHeight="15"/>
  <cols>
    <col min="1" max="1" width="10.7109375" customWidth="1"/>
    <col min="2" max="2" width="10" customWidth="1"/>
    <col min="3" max="3" width="9.28515625" customWidth="1"/>
    <col min="4" max="4" width="5.7109375" customWidth="1"/>
    <col min="5" max="5" width="6.28515625" customWidth="1"/>
    <col min="6" max="6" width="12.140625" customWidth="1"/>
    <col min="7" max="7" width="7.5703125" customWidth="1"/>
    <col min="8" max="8" width="8" customWidth="1"/>
    <col min="9" max="9" width="6.85546875" customWidth="1"/>
    <col min="10" max="10" width="12.5703125" customWidth="1"/>
    <col min="11" max="11" width="13" customWidth="1"/>
    <col min="12" max="12" width="10.85546875" customWidth="1"/>
    <col min="13" max="13" width="13.140625" customWidth="1"/>
    <col min="14" max="14" width="12.140625" customWidth="1"/>
    <col min="15" max="15" width="13" customWidth="1"/>
    <col min="16" max="16" width="12.7109375" bestFit="1" customWidth="1"/>
    <col min="24" max="24" width="10" customWidth="1"/>
    <col min="25" max="25" width="6.85546875" customWidth="1"/>
    <col min="26" max="26" width="7.7109375" customWidth="1"/>
    <col min="27" max="27" width="12" customWidth="1"/>
    <col min="29" max="29" width="9.7109375" customWidth="1"/>
    <col min="30" max="30" width="6.28515625" customWidth="1"/>
    <col min="32" max="32" width="12.42578125" customWidth="1"/>
    <col min="34" max="34" width="7.28515625" customWidth="1"/>
  </cols>
  <sheetData>
    <row r="1" spans="1:37" ht="28.5">
      <c r="A1" s="610" t="s">
        <v>253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164">
        <v>44880</v>
      </c>
      <c r="V1" s="610" t="s">
        <v>196</v>
      </c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164">
        <v>44880</v>
      </c>
    </row>
    <row r="2" spans="1:37" ht="63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124</v>
      </c>
      <c r="O2" s="105" t="s">
        <v>126</v>
      </c>
      <c r="P2" s="105" t="s">
        <v>249</v>
      </c>
      <c r="R2" s="172" t="s">
        <v>250</v>
      </c>
      <c r="S2" s="172" t="s">
        <v>4</v>
      </c>
      <c r="T2" s="172" t="s">
        <v>251</v>
      </c>
      <c r="V2" s="100" t="s">
        <v>0</v>
      </c>
      <c r="W2" s="100" t="s">
        <v>140</v>
      </c>
      <c r="X2" s="101" t="s">
        <v>130</v>
      </c>
      <c r="Y2" s="101" t="s">
        <v>2</v>
      </c>
      <c r="Z2" s="101" t="s">
        <v>3</v>
      </c>
      <c r="AA2" s="102" t="s">
        <v>4</v>
      </c>
      <c r="AB2" s="103" t="s">
        <v>5</v>
      </c>
      <c r="AC2" s="103" t="s">
        <v>6</v>
      </c>
      <c r="AD2" s="103" t="s">
        <v>7</v>
      </c>
      <c r="AE2" s="101" t="s">
        <v>8</v>
      </c>
      <c r="AF2" s="104" t="s">
        <v>9</v>
      </c>
      <c r="AG2" s="103" t="s">
        <v>10</v>
      </c>
      <c r="AH2" s="105" t="s">
        <v>125</v>
      </c>
      <c r="AI2" s="105" t="s">
        <v>126</v>
      </c>
      <c r="AJ2" s="105" t="s">
        <v>124</v>
      </c>
      <c r="AK2" s="105" t="s">
        <v>249</v>
      </c>
    </row>
    <row r="3" spans="1:37">
      <c r="A3" s="579" t="s">
        <v>115</v>
      </c>
      <c r="B3" s="171" t="s">
        <v>96</v>
      </c>
      <c r="C3" s="168">
        <v>300</v>
      </c>
      <c r="D3" s="171">
        <v>1.05</v>
      </c>
      <c r="E3" s="168">
        <v>225</v>
      </c>
      <c r="F3" s="107">
        <f>C3*D3*E3</f>
        <v>70875</v>
      </c>
      <c r="G3" s="594">
        <v>1102</v>
      </c>
      <c r="H3" s="596">
        <v>3672</v>
      </c>
      <c r="I3" s="540">
        <v>515</v>
      </c>
      <c r="J3" s="582">
        <f>G3/H3*SUM(C3:C6)*515</f>
        <v>227197.46732026144</v>
      </c>
      <c r="K3" s="591">
        <f>J3+SUM(F3:F6)</f>
        <v>588659.96732026141</v>
      </c>
      <c r="L3" s="598">
        <f>K3/SUM(C3:C6)</f>
        <v>400.44895736072203</v>
      </c>
      <c r="M3" s="171">
        <v>24</v>
      </c>
      <c r="N3" s="27">
        <f>C3/30</f>
        <v>10</v>
      </c>
      <c r="O3" s="27">
        <f>M3-N3</f>
        <v>14</v>
      </c>
      <c r="P3" s="604">
        <v>1082</v>
      </c>
      <c r="Q3" s="39">
        <f>J3+AE3</f>
        <v>567530</v>
      </c>
      <c r="R3">
        <v>300</v>
      </c>
      <c r="S3" s="171">
        <v>705</v>
      </c>
      <c r="T3">
        <f>S3-R3</f>
        <v>405</v>
      </c>
      <c r="V3" s="579" t="s">
        <v>115</v>
      </c>
      <c r="W3" s="171" t="s">
        <v>96</v>
      </c>
      <c r="X3" s="168">
        <v>405</v>
      </c>
      <c r="Y3" s="171">
        <v>1.05</v>
      </c>
      <c r="Z3" s="168">
        <v>225</v>
      </c>
      <c r="AA3" s="107">
        <f t="shared" ref="AA3:AA13" si="0">Y3*Z3*X3</f>
        <v>95681.25</v>
      </c>
      <c r="AB3" s="594">
        <v>1102</v>
      </c>
      <c r="AC3" s="596">
        <v>3672</v>
      </c>
      <c r="AD3" s="590">
        <v>515</v>
      </c>
      <c r="AE3" s="598">
        <f>AB3/AC3*SUM(X3:X6)*AD3</f>
        <v>340332.53267973859</v>
      </c>
      <c r="AF3" s="591">
        <f>AE3+SUM(AA3:AA6)</f>
        <v>880827.53267973859</v>
      </c>
      <c r="AG3" s="582">
        <f>AF3/SUM(X3:X6)</f>
        <v>400.01250348761971</v>
      </c>
      <c r="AH3" s="171">
        <v>24</v>
      </c>
      <c r="AI3" s="27">
        <f>X3/30</f>
        <v>13.5</v>
      </c>
      <c r="AJ3" s="27">
        <f>AH3-AI3</f>
        <v>10.5</v>
      </c>
      <c r="AK3" s="604">
        <v>1082</v>
      </c>
    </row>
    <row r="4" spans="1:37">
      <c r="A4" s="579"/>
      <c r="B4" s="171" t="s">
        <v>95</v>
      </c>
      <c r="C4" s="168">
        <v>420</v>
      </c>
      <c r="D4" s="171">
        <v>1.1499999999999999</v>
      </c>
      <c r="E4" s="168">
        <v>225</v>
      </c>
      <c r="F4" s="107">
        <f t="shared" ref="F4:F51" si="1">C4*D4*E4</f>
        <v>108674.99999999999</v>
      </c>
      <c r="G4" s="609"/>
      <c r="H4" s="600"/>
      <c r="I4" s="549"/>
      <c r="J4" s="582"/>
      <c r="K4" s="591"/>
      <c r="L4" s="601"/>
      <c r="M4" s="171">
        <v>34</v>
      </c>
      <c r="N4" s="27">
        <f t="shared" ref="N4:N53" si="2">C4/30</f>
        <v>14</v>
      </c>
      <c r="O4" s="27">
        <f t="shared" ref="O4:O53" si="3">M4-N4</f>
        <v>20</v>
      </c>
      <c r="P4" s="604"/>
      <c r="R4">
        <v>420</v>
      </c>
      <c r="S4" s="171">
        <v>1023</v>
      </c>
      <c r="T4">
        <f t="shared" ref="T4:T53" si="4">S4-R4</f>
        <v>603</v>
      </c>
      <c r="V4" s="579"/>
      <c r="W4" s="171" t="s">
        <v>95</v>
      </c>
      <c r="X4" s="168">
        <v>603</v>
      </c>
      <c r="Y4" s="171">
        <v>1.1499999999999999</v>
      </c>
      <c r="Z4" s="168">
        <v>225</v>
      </c>
      <c r="AA4" s="107">
        <f t="shared" si="0"/>
        <v>156026.25</v>
      </c>
      <c r="AB4" s="609"/>
      <c r="AC4" s="600"/>
      <c r="AD4" s="590"/>
      <c r="AE4" s="601"/>
      <c r="AF4" s="591"/>
      <c r="AG4" s="582"/>
      <c r="AH4" s="171">
        <v>34</v>
      </c>
      <c r="AI4" s="27">
        <f t="shared" ref="AI4:AI53" si="5">X4/30</f>
        <v>20.100000000000001</v>
      </c>
      <c r="AJ4" s="27">
        <f t="shared" ref="AJ4:AJ53" si="6">AH4-AI4</f>
        <v>13.899999999999999</v>
      </c>
      <c r="AK4" s="604"/>
    </row>
    <row r="5" spans="1:37">
      <c r="A5" s="579"/>
      <c r="B5" s="171" t="s">
        <v>103</v>
      </c>
      <c r="C5" s="168">
        <v>210</v>
      </c>
      <c r="D5" s="171">
        <v>1.1499999999999999</v>
      </c>
      <c r="E5" s="168">
        <v>225</v>
      </c>
      <c r="F5" s="107">
        <f t="shared" si="1"/>
        <v>54337.499999999993</v>
      </c>
      <c r="G5" s="609"/>
      <c r="H5" s="600"/>
      <c r="I5" s="549"/>
      <c r="J5" s="582"/>
      <c r="K5" s="591"/>
      <c r="L5" s="601"/>
      <c r="M5" s="171">
        <v>17</v>
      </c>
      <c r="N5" s="27">
        <f t="shared" si="2"/>
        <v>7</v>
      </c>
      <c r="O5" s="27">
        <f t="shared" si="3"/>
        <v>10</v>
      </c>
      <c r="P5" s="604"/>
      <c r="R5">
        <v>210</v>
      </c>
      <c r="S5" s="171">
        <v>508</v>
      </c>
      <c r="T5">
        <f t="shared" si="4"/>
        <v>298</v>
      </c>
      <c r="V5" s="579"/>
      <c r="W5" s="171" t="s">
        <v>103</v>
      </c>
      <c r="X5" s="168">
        <v>298</v>
      </c>
      <c r="Y5" s="171">
        <v>1.1499999999999999</v>
      </c>
      <c r="Z5" s="168">
        <v>225</v>
      </c>
      <c r="AA5" s="107">
        <f t="shared" si="0"/>
        <v>77107.5</v>
      </c>
      <c r="AB5" s="609"/>
      <c r="AC5" s="600"/>
      <c r="AD5" s="590"/>
      <c r="AE5" s="601"/>
      <c r="AF5" s="591"/>
      <c r="AG5" s="582"/>
      <c r="AH5" s="171">
        <v>17</v>
      </c>
      <c r="AI5" s="27">
        <f t="shared" si="5"/>
        <v>9.9333333333333336</v>
      </c>
      <c r="AJ5" s="27">
        <f t="shared" si="6"/>
        <v>7.0666666666666664</v>
      </c>
      <c r="AK5" s="604"/>
    </row>
    <row r="6" spans="1:37">
      <c r="A6" s="579"/>
      <c r="B6" s="171" t="s">
        <v>98</v>
      </c>
      <c r="C6" s="168">
        <v>540</v>
      </c>
      <c r="D6" s="171">
        <v>1.05</v>
      </c>
      <c r="E6" s="168">
        <v>225</v>
      </c>
      <c r="F6" s="107">
        <f t="shared" si="1"/>
        <v>127575</v>
      </c>
      <c r="G6" s="595"/>
      <c r="H6" s="597"/>
      <c r="I6" s="541"/>
      <c r="J6" s="582"/>
      <c r="K6" s="591"/>
      <c r="L6" s="599"/>
      <c r="M6" s="171">
        <v>48</v>
      </c>
      <c r="N6" s="27">
        <f t="shared" si="2"/>
        <v>18</v>
      </c>
      <c r="O6" s="27">
        <f t="shared" si="3"/>
        <v>30</v>
      </c>
      <c r="P6" s="604"/>
      <c r="R6">
        <v>540</v>
      </c>
      <c r="S6" s="171">
        <v>1436</v>
      </c>
      <c r="T6">
        <f t="shared" si="4"/>
        <v>896</v>
      </c>
      <c r="V6" s="579"/>
      <c r="W6" s="171" t="s">
        <v>98</v>
      </c>
      <c r="X6" s="168">
        <v>896</v>
      </c>
      <c r="Y6" s="171">
        <v>1.05</v>
      </c>
      <c r="Z6" s="168">
        <v>225</v>
      </c>
      <c r="AA6" s="107">
        <f t="shared" si="0"/>
        <v>211680</v>
      </c>
      <c r="AB6" s="595"/>
      <c r="AC6" s="597"/>
      <c r="AD6" s="590"/>
      <c r="AE6" s="599"/>
      <c r="AF6" s="591"/>
      <c r="AG6" s="582"/>
      <c r="AH6" s="171">
        <v>48</v>
      </c>
      <c r="AI6" s="27">
        <f t="shared" si="5"/>
        <v>29.866666666666667</v>
      </c>
      <c r="AJ6" s="27">
        <f t="shared" si="6"/>
        <v>18.133333333333333</v>
      </c>
      <c r="AK6" s="604"/>
    </row>
    <row r="7" spans="1:37">
      <c r="A7" s="579" t="s">
        <v>192</v>
      </c>
      <c r="B7" s="171" t="s">
        <v>94</v>
      </c>
      <c r="C7" s="168">
        <v>270</v>
      </c>
      <c r="D7" s="171">
        <v>0.92</v>
      </c>
      <c r="E7" s="168">
        <v>225</v>
      </c>
      <c r="F7" s="107">
        <f>C7*D7*E7</f>
        <v>55890</v>
      </c>
      <c r="G7" s="594">
        <v>500</v>
      </c>
      <c r="H7" s="596">
        <v>1645</v>
      </c>
      <c r="I7" s="540">
        <v>515</v>
      </c>
      <c r="J7" s="598">
        <f>G7/H7*SUM(C7:C8)*515</f>
        <v>93920.972644376889</v>
      </c>
      <c r="K7" s="592">
        <f>J7+SUM(F7:F8)</f>
        <v>218120.97264437689</v>
      </c>
      <c r="L7" s="582">
        <f>K7/SUM(C7:C8)</f>
        <v>363.53495440729483</v>
      </c>
      <c r="M7" s="171">
        <v>24</v>
      </c>
      <c r="N7" s="27">
        <f t="shared" si="2"/>
        <v>9</v>
      </c>
      <c r="O7" s="27">
        <f t="shared" si="3"/>
        <v>15</v>
      </c>
      <c r="P7" s="604">
        <v>495</v>
      </c>
      <c r="Q7" s="39">
        <f>J7+AE7</f>
        <v>257500</v>
      </c>
      <c r="R7">
        <v>270</v>
      </c>
      <c r="S7" s="171">
        <v>711</v>
      </c>
      <c r="T7">
        <f t="shared" si="4"/>
        <v>441</v>
      </c>
      <c r="V7" s="579" t="s">
        <v>192</v>
      </c>
      <c r="W7" s="171" t="s">
        <v>94</v>
      </c>
      <c r="X7" s="168">
        <v>441</v>
      </c>
      <c r="Y7" s="171">
        <v>0.92</v>
      </c>
      <c r="Z7" s="168">
        <v>225</v>
      </c>
      <c r="AA7" s="107">
        <f t="shared" si="0"/>
        <v>91287</v>
      </c>
      <c r="AB7" s="594">
        <v>500</v>
      </c>
      <c r="AC7" s="596">
        <v>1645</v>
      </c>
      <c r="AD7" s="590">
        <v>515</v>
      </c>
      <c r="AE7" s="582">
        <f>AB7/AC7*SUM(X7:X8)*515</f>
        <v>163579.02735562311</v>
      </c>
      <c r="AF7" s="591">
        <f>AE7+SUM(AA7:AA8)</f>
        <v>379894.02735562308</v>
      </c>
      <c r="AG7" s="582">
        <f>AF7/SUM(X7:X8)</f>
        <v>363.53495440729483</v>
      </c>
      <c r="AH7" s="171">
        <v>24</v>
      </c>
      <c r="AI7" s="27">
        <f t="shared" si="5"/>
        <v>14.7</v>
      </c>
      <c r="AJ7" s="27">
        <f t="shared" si="6"/>
        <v>9.3000000000000007</v>
      </c>
      <c r="AK7" s="604">
        <v>495</v>
      </c>
    </row>
    <row r="8" spans="1:37">
      <c r="A8" s="579"/>
      <c r="B8" s="171" t="s">
        <v>97</v>
      </c>
      <c r="C8" s="168">
        <v>330</v>
      </c>
      <c r="D8" s="171">
        <v>0.92</v>
      </c>
      <c r="E8" s="168">
        <v>225</v>
      </c>
      <c r="F8" s="107">
        <f>C8*D8*E8</f>
        <v>68310</v>
      </c>
      <c r="G8" s="595"/>
      <c r="H8" s="597"/>
      <c r="I8" s="541"/>
      <c r="J8" s="599"/>
      <c r="K8" s="593"/>
      <c r="L8" s="582"/>
      <c r="M8" s="171">
        <v>31</v>
      </c>
      <c r="N8" s="27">
        <f t="shared" si="2"/>
        <v>11</v>
      </c>
      <c r="O8" s="27">
        <f t="shared" si="3"/>
        <v>20</v>
      </c>
      <c r="P8" s="604"/>
      <c r="R8">
        <v>330</v>
      </c>
      <c r="S8" s="171">
        <v>934</v>
      </c>
      <c r="T8">
        <f t="shared" si="4"/>
        <v>604</v>
      </c>
      <c r="V8" s="579"/>
      <c r="W8" s="171" t="s">
        <v>97</v>
      </c>
      <c r="X8" s="168">
        <v>604</v>
      </c>
      <c r="Y8" s="171">
        <v>0.92</v>
      </c>
      <c r="Z8" s="168">
        <v>225</v>
      </c>
      <c r="AA8" s="107">
        <f t="shared" si="0"/>
        <v>125028</v>
      </c>
      <c r="AB8" s="595"/>
      <c r="AC8" s="597"/>
      <c r="AD8" s="590"/>
      <c r="AE8" s="582"/>
      <c r="AF8" s="591"/>
      <c r="AG8" s="582"/>
      <c r="AH8" s="171">
        <v>31</v>
      </c>
      <c r="AI8" s="27">
        <f t="shared" si="5"/>
        <v>20.133333333333333</v>
      </c>
      <c r="AJ8" s="27">
        <f t="shared" si="6"/>
        <v>10.866666666666667</v>
      </c>
      <c r="AK8" s="604"/>
    </row>
    <row r="9" spans="1:37">
      <c r="A9" s="579" t="s">
        <v>46</v>
      </c>
      <c r="B9" s="171" t="s">
        <v>100</v>
      </c>
      <c r="C9" s="168">
        <v>950</v>
      </c>
      <c r="D9" s="171">
        <v>0.75</v>
      </c>
      <c r="E9" s="168">
        <v>225</v>
      </c>
      <c r="F9" s="107">
        <f t="shared" si="1"/>
        <v>160312.5</v>
      </c>
      <c r="G9" s="607">
        <v>2500</v>
      </c>
      <c r="H9" s="596">
        <v>8500</v>
      </c>
      <c r="I9" s="540">
        <v>515</v>
      </c>
      <c r="J9" s="598">
        <f>G9/H9*SUM(C9:C13)*515</f>
        <v>669045.58823529421</v>
      </c>
      <c r="K9" s="592">
        <f>J9+SUM(F9:F13)</f>
        <v>1431176.8382352942</v>
      </c>
      <c r="L9" s="598">
        <f>K9/SUM(C9:C13)</f>
        <v>324.01558483932405</v>
      </c>
      <c r="M9" s="171">
        <v>37</v>
      </c>
      <c r="N9" s="27">
        <f>C9/50</f>
        <v>19</v>
      </c>
      <c r="O9" s="27">
        <f t="shared" si="3"/>
        <v>18</v>
      </c>
      <c r="P9" s="604">
        <v>2500</v>
      </c>
      <c r="Q9" s="39">
        <f>J9+AE9</f>
        <v>1287500</v>
      </c>
      <c r="R9">
        <v>950</v>
      </c>
      <c r="S9" s="171">
        <v>1826</v>
      </c>
      <c r="T9">
        <f t="shared" si="4"/>
        <v>876</v>
      </c>
      <c r="V9" s="579" t="s">
        <v>46</v>
      </c>
      <c r="W9" s="171" t="s">
        <v>100</v>
      </c>
      <c r="X9" s="168">
        <v>876</v>
      </c>
      <c r="Y9" s="171">
        <v>0.75</v>
      </c>
      <c r="Z9" s="168">
        <v>225</v>
      </c>
      <c r="AA9" s="107">
        <f t="shared" si="0"/>
        <v>147825</v>
      </c>
      <c r="AB9" s="607">
        <v>2500</v>
      </c>
      <c r="AC9" s="583">
        <v>8500</v>
      </c>
      <c r="AD9" s="590">
        <v>515</v>
      </c>
      <c r="AE9" s="582">
        <f>AB9/AC9*SUM(X9:X13)*AD9</f>
        <v>618454.4117647059</v>
      </c>
      <c r="AF9" s="591">
        <f>AE9+SUM(AA9:AA13)</f>
        <v>1323008.161764706</v>
      </c>
      <c r="AG9" s="582">
        <f>AF9/SUM(X9:X13)</f>
        <v>324.02845010156892</v>
      </c>
      <c r="AH9" s="171">
        <v>37</v>
      </c>
      <c r="AI9" s="27">
        <f t="shared" ref="AI9:AI19" si="7">X9/50</f>
        <v>17.52</v>
      </c>
      <c r="AJ9" s="27">
        <f t="shared" si="6"/>
        <v>19.48</v>
      </c>
      <c r="AK9" s="604">
        <v>2500</v>
      </c>
    </row>
    <row r="10" spans="1:37">
      <c r="A10" s="579"/>
      <c r="B10" s="171" t="s">
        <v>241</v>
      </c>
      <c r="C10" s="168">
        <v>977</v>
      </c>
      <c r="D10" s="171">
        <v>0.75</v>
      </c>
      <c r="E10" s="168">
        <v>225</v>
      </c>
      <c r="F10" s="107">
        <f t="shared" si="1"/>
        <v>164868.75</v>
      </c>
      <c r="G10" s="607"/>
      <c r="H10" s="600"/>
      <c r="I10" s="549"/>
      <c r="J10" s="601"/>
      <c r="K10" s="602"/>
      <c r="L10" s="601"/>
      <c r="M10" s="171">
        <v>37</v>
      </c>
      <c r="N10" s="27">
        <v>19</v>
      </c>
      <c r="O10" s="27">
        <f t="shared" si="3"/>
        <v>18</v>
      </c>
      <c r="P10" s="604"/>
      <c r="R10">
        <v>977</v>
      </c>
      <c r="S10" s="171">
        <v>1877</v>
      </c>
      <c r="T10">
        <f t="shared" si="4"/>
        <v>900</v>
      </c>
      <c r="V10" s="579"/>
      <c r="W10" s="171" t="s">
        <v>241</v>
      </c>
      <c r="X10" s="168">
        <v>900</v>
      </c>
      <c r="Y10" s="171">
        <v>0.75</v>
      </c>
      <c r="Z10" s="168">
        <v>225</v>
      </c>
      <c r="AA10" s="107">
        <f t="shared" si="0"/>
        <v>151875</v>
      </c>
      <c r="AB10" s="607"/>
      <c r="AC10" s="583"/>
      <c r="AD10" s="590"/>
      <c r="AE10" s="582"/>
      <c r="AF10" s="591"/>
      <c r="AG10" s="582"/>
      <c r="AH10" s="171">
        <v>37</v>
      </c>
      <c r="AI10" s="27">
        <f t="shared" si="7"/>
        <v>18</v>
      </c>
      <c r="AJ10" s="27">
        <f t="shared" si="6"/>
        <v>19</v>
      </c>
      <c r="AK10" s="604"/>
    </row>
    <row r="11" spans="1:37">
      <c r="A11" s="579"/>
      <c r="B11" s="171" t="s">
        <v>150</v>
      </c>
      <c r="C11" s="168">
        <v>1000</v>
      </c>
      <c r="D11" s="171">
        <v>0.75</v>
      </c>
      <c r="E11" s="168">
        <v>225</v>
      </c>
      <c r="F11" s="107">
        <f t="shared" si="1"/>
        <v>168750</v>
      </c>
      <c r="G11" s="607"/>
      <c r="H11" s="600"/>
      <c r="I11" s="549"/>
      <c r="J11" s="601"/>
      <c r="K11" s="602"/>
      <c r="L11" s="601"/>
      <c r="M11" s="171">
        <v>39</v>
      </c>
      <c r="N11" s="27">
        <f t="shared" ref="N11:N13" si="8">C11/50</f>
        <v>20</v>
      </c>
      <c r="O11" s="27">
        <f t="shared" si="3"/>
        <v>19</v>
      </c>
      <c r="P11" s="604"/>
      <c r="R11">
        <v>1000</v>
      </c>
      <c r="S11" s="171">
        <v>1925</v>
      </c>
      <c r="T11">
        <f t="shared" si="4"/>
        <v>925</v>
      </c>
      <c r="V11" s="579"/>
      <c r="W11" s="171" t="s">
        <v>150</v>
      </c>
      <c r="X11" s="168">
        <v>925</v>
      </c>
      <c r="Y11" s="171">
        <v>0.75</v>
      </c>
      <c r="Z11" s="168">
        <v>225</v>
      </c>
      <c r="AA11" s="107">
        <f t="shared" si="0"/>
        <v>156093.75</v>
      </c>
      <c r="AB11" s="607"/>
      <c r="AC11" s="583"/>
      <c r="AD11" s="590"/>
      <c r="AE11" s="582"/>
      <c r="AF11" s="591"/>
      <c r="AG11" s="582"/>
      <c r="AH11" s="171">
        <v>39</v>
      </c>
      <c r="AI11" s="27">
        <f t="shared" si="7"/>
        <v>18.5</v>
      </c>
      <c r="AJ11" s="27">
        <f t="shared" si="6"/>
        <v>20.5</v>
      </c>
      <c r="AK11" s="604"/>
    </row>
    <row r="12" spans="1:37">
      <c r="A12" s="579"/>
      <c r="B12" s="171" t="s">
        <v>94</v>
      </c>
      <c r="C12" s="168">
        <v>990</v>
      </c>
      <c r="D12" s="171">
        <v>0.8</v>
      </c>
      <c r="E12" s="168">
        <v>225</v>
      </c>
      <c r="F12" s="107">
        <f t="shared" si="1"/>
        <v>178200</v>
      </c>
      <c r="G12" s="607"/>
      <c r="H12" s="600"/>
      <c r="I12" s="549"/>
      <c r="J12" s="601"/>
      <c r="K12" s="602"/>
      <c r="L12" s="601"/>
      <c r="M12" s="171">
        <v>37</v>
      </c>
      <c r="N12" s="27">
        <v>19</v>
      </c>
      <c r="O12" s="27">
        <f t="shared" si="3"/>
        <v>18</v>
      </c>
      <c r="P12" s="604"/>
      <c r="R12">
        <v>990</v>
      </c>
      <c r="S12" s="171">
        <v>1890</v>
      </c>
      <c r="T12">
        <f t="shared" si="4"/>
        <v>900</v>
      </c>
      <c r="V12" s="579"/>
      <c r="W12" s="171" t="s">
        <v>94</v>
      </c>
      <c r="X12" s="168">
        <v>900</v>
      </c>
      <c r="Y12" s="171">
        <v>0.8</v>
      </c>
      <c r="Z12" s="168">
        <v>225</v>
      </c>
      <c r="AA12" s="107">
        <f t="shared" si="0"/>
        <v>162000</v>
      </c>
      <c r="AB12" s="607"/>
      <c r="AC12" s="583"/>
      <c r="AD12" s="590"/>
      <c r="AE12" s="582"/>
      <c r="AF12" s="591"/>
      <c r="AG12" s="582"/>
      <c r="AH12" s="171">
        <v>37</v>
      </c>
      <c r="AI12" s="27">
        <f t="shared" si="7"/>
        <v>18</v>
      </c>
      <c r="AJ12" s="27">
        <f t="shared" si="6"/>
        <v>19</v>
      </c>
      <c r="AK12" s="604"/>
    </row>
    <row r="13" spans="1:37">
      <c r="A13" s="579"/>
      <c r="B13" s="171" t="s">
        <v>96</v>
      </c>
      <c r="C13" s="168">
        <v>500</v>
      </c>
      <c r="D13" s="171">
        <v>0.8</v>
      </c>
      <c r="E13" s="168">
        <v>225</v>
      </c>
      <c r="F13" s="107">
        <f t="shared" si="1"/>
        <v>90000</v>
      </c>
      <c r="G13" s="607"/>
      <c r="H13" s="597"/>
      <c r="I13" s="541"/>
      <c r="J13" s="599"/>
      <c r="K13" s="593"/>
      <c r="L13" s="599"/>
      <c r="M13" s="171">
        <v>19</v>
      </c>
      <c r="N13" s="27">
        <f t="shared" si="8"/>
        <v>10</v>
      </c>
      <c r="O13" s="27">
        <f t="shared" si="3"/>
        <v>9</v>
      </c>
      <c r="P13" s="604"/>
      <c r="R13">
        <v>500</v>
      </c>
      <c r="S13" s="171">
        <v>982</v>
      </c>
      <c r="T13">
        <f t="shared" si="4"/>
        <v>482</v>
      </c>
      <c r="V13" s="579"/>
      <c r="W13" s="171" t="s">
        <v>96</v>
      </c>
      <c r="X13" s="168">
        <v>482</v>
      </c>
      <c r="Y13" s="171">
        <v>0.8</v>
      </c>
      <c r="Z13" s="168">
        <v>225</v>
      </c>
      <c r="AA13" s="107">
        <f t="shared" si="0"/>
        <v>86760</v>
      </c>
      <c r="AB13" s="607"/>
      <c r="AC13" s="583"/>
      <c r="AD13" s="590"/>
      <c r="AE13" s="582"/>
      <c r="AF13" s="591"/>
      <c r="AG13" s="582"/>
      <c r="AH13" s="171">
        <v>19</v>
      </c>
      <c r="AI13" s="27">
        <f t="shared" si="7"/>
        <v>9.64</v>
      </c>
      <c r="AJ13" s="27">
        <f t="shared" si="6"/>
        <v>9.36</v>
      </c>
      <c r="AK13" s="604"/>
    </row>
    <row r="14" spans="1:37">
      <c r="A14" s="579" t="s">
        <v>235</v>
      </c>
      <c r="B14" s="171" t="s">
        <v>95</v>
      </c>
      <c r="C14" s="168">
        <v>550</v>
      </c>
      <c r="D14" s="171">
        <v>1.02</v>
      </c>
      <c r="E14" s="168">
        <v>225</v>
      </c>
      <c r="F14" s="107">
        <f t="shared" si="1"/>
        <v>126225</v>
      </c>
      <c r="G14" s="607">
        <v>1400</v>
      </c>
      <c r="H14" s="596">
        <v>4754</v>
      </c>
      <c r="I14" s="590">
        <v>515</v>
      </c>
      <c r="J14" s="582">
        <f>G14/H14*SUM(C14:C19)*515</f>
        <v>379154.39629785449</v>
      </c>
      <c r="K14" s="591">
        <f>J14+SUM(F14:F19)</f>
        <v>952904.39629785449</v>
      </c>
      <c r="L14" s="582">
        <f>K14/SUM(C14:C19)</f>
        <v>381.16175851914181</v>
      </c>
      <c r="M14" s="171">
        <v>21</v>
      </c>
      <c r="N14" s="27">
        <f t="shared" ref="N14:N19" si="9">C14/50</f>
        <v>11</v>
      </c>
      <c r="O14" s="27">
        <f t="shared" si="3"/>
        <v>10</v>
      </c>
      <c r="P14" s="604">
        <v>1400</v>
      </c>
      <c r="Q14" s="39">
        <f>J14+AE14</f>
        <v>721000</v>
      </c>
      <c r="R14">
        <v>550</v>
      </c>
      <c r="S14" s="171">
        <v>1037</v>
      </c>
      <c r="T14">
        <f t="shared" si="4"/>
        <v>487</v>
      </c>
      <c r="V14" s="579" t="s">
        <v>235</v>
      </c>
      <c r="W14" s="171" t="s">
        <v>95</v>
      </c>
      <c r="X14" s="168">
        <v>487</v>
      </c>
      <c r="Y14" s="171">
        <v>1.02</v>
      </c>
      <c r="Z14" s="168">
        <v>225</v>
      </c>
      <c r="AA14" s="107">
        <f t="shared" ref="AA14:AA51" si="10">X14*Y14*Z14</f>
        <v>111766.5</v>
      </c>
      <c r="AB14" s="607">
        <v>1400</v>
      </c>
      <c r="AC14" s="583">
        <v>4754</v>
      </c>
      <c r="AD14" s="590">
        <v>515</v>
      </c>
      <c r="AE14" s="582">
        <f>AB14/AC14*SUM(X14:X19)*AD14</f>
        <v>341845.60370214557</v>
      </c>
      <c r="AF14" s="591">
        <f>AE14+SUM(AA14:AA19)</f>
        <v>859138.60370214563</v>
      </c>
      <c r="AG14" s="582">
        <f>AF14/SUM(X14:X19)</f>
        <v>381.16175851914181</v>
      </c>
      <c r="AH14" s="171">
        <v>21</v>
      </c>
      <c r="AI14" s="27">
        <f t="shared" si="7"/>
        <v>9.74</v>
      </c>
      <c r="AJ14" s="27">
        <f t="shared" si="6"/>
        <v>11.26</v>
      </c>
      <c r="AK14" s="604">
        <v>1400</v>
      </c>
    </row>
    <row r="15" spans="1:37">
      <c r="A15" s="579"/>
      <c r="B15" s="171" t="s">
        <v>102</v>
      </c>
      <c r="C15" s="168">
        <v>500</v>
      </c>
      <c r="D15" s="171">
        <v>1.02</v>
      </c>
      <c r="E15" s="168">
        <v>225</v>
      </c>
      <c r="F15" s="107">
        <f t="shared" si="1"/>
        <v>114750</v>
      </c>
      <c r="G15" s="607"/>
      <c r="H15" s="600"/>
      <c r="I15" s="590"/>
      <c r="J15" s="582"/>
      <c r="K15" s="591"/>
      <c r="L15" s="582"/>
      <c r="M15" s="171">
        <v>20</v>
      </c>
      <c r="N15" s="27">
        <f t="shared" si="9"/>
        <v>10</v>
      </c>
      <c r="O15" s="27">
        <f t="shared" si="3"/>
        <v>10</v>
      </c>
      <c r="P15" s="604"/>
      <c r="R15">
        <v>500</v>
      </c>
      <c r="S15" s="171">
        <v>996</v>
      </c>
      <c r="T15">
        <f t="shared" si="4"/>
        <v>496</v>
      </c>
      <c r="V15" s="579"/>
      <c r="W15" s="171" t="s">
        <v>102</v>
      </c>
      <c r="X15" s="168">
        <v>496</v>
      </c>
      <c r="Y15" s="171">
        <v>1.02</v>
      </c>
      <c r="Z15" s="168">
        <v>225</v>
      </c>
      <c r="AA15" s="107">
        <f t="shared" si="10"/>
        <v>113832</v>
      </c>
      <c r="AB15" s="607"/>
      <c r="AC15" s="583"/>
      <c r="AD15" s="590"/>
      <c r="AE15" s="582"/>
      <c r="AF15" s="591"/>
      <c r="AG15" s="582"/>
      <c r="AH15" s="171">
        <v>20</v>
      </c>
      <c r="AI15" s="27">
        <f t="shared" si="7"/>
        <v>9.92</v>
      </c>
      <c r="AJ15" s="27">
        <f>AH15-AI15</f>
        <v>10.08</v>
      </c>
      <c r="AK15" s="604"/>
    </row>
    <row r="16" spans="1:37">
      <c r="A16" s="579"/>
      <c r="B16" s="171" t="s">
        <v>150</v>
      </c>
      <c r="C16" s="168">
        <v>550</v>
      </c>
      <c r="D16" s="171">
        <v>1.02</v>
      </c>
      <c r="E16" s="168">
        <v>225</v>
      </c>
      <c r="F16" s="107">
        <f t="shared" si="1"/>
        <v>126225</v>
      </c>
      <c r="G16" s="607"/>
      <c r="H16" s="600"/>
      <c r="I16" s="590"/>
      <c r="J16" s="582"/>
      <c r="K16" s="591"/>
      <c r="L16" s="582"/>
      <c r="M16" s="171">
        <v>21</v>
      </c>
      <c r="N16" s="27">
        <f t="shared" si="9"/>
        <v>11</v>
      </c>
      <c r="O16" s="27">
        <f t="shared" si="3"/>
        <v>10</v>
      </c>
      <c r="P16" s="604"/>
      <c r="R16">
        <v>550</v>
      </c>
      <c r="S16" s="171">
        <v>1017</v>
      </c>
      <c r="T16">
        <f t="shared" si="4"/>
        <v>467</v>
      </c>
      <c r="V16" s="579"/>
      <c r="W16" s="171" t="s">
        <v>150</v>
      </c>
      <c r="X16" s="168">
        <v>467</v>
      </c>
      <c r="Y16" s="171">
        <v>1.02</v>
      </c>
      <c r="Z16" s="168">
        <v>225</v>
      </c>
      <c r="AA16" s="107">
        <f t="shared" si="10"/>
        <v>107176.5</v>
      </c>
      <c r="AB16" s="607"/>
      <c r="AC16" s="583"/>
      <c r="AD16" s="590"/>
      <c r="AE16" s="582"/>
      <c r="AF16" s="591"/>
      <c r="AG16" s="582"/>
      <c r="AH16" s="171">
        <v>21</v>
      </c>
      <c r="AI16" s="27">
        <f t="shared" si="7"/>
        <v>9.34</v>
      </c>
      <c r="AJ16" s="27">
        <f t="shared" si="6"/>
        <v>11.66</v>
      </c>
      <c r="AK16" s="604"/>
    </row>
    <row r="17" spans="1:37">
      <c r="A17" s="579"/>
      <c r="B17" s="171" t="s">
        <v>242</v>
      </c>
      <c r="C17" s="168">
        <v>300</v>
      </c>
      <c r="D17" s="171">
        <v>1.02</v>
      </c>
      <c r="E17" s="168">
        <v>225</v>
      </c>
      <c r="F17" s="107">
        <f t="shared" si="1"/>
        <v>68850</v>
      </c>
      <c r="G17" s="607"/>
      <c r="H17" s="600"/>
      <c r="I17" s="590"/>
      <c r="J17" s="582"/>
      <c r="K17" s="591"/>
      <c r="L17" s="582"/>
      <c r="M17" s="171">
        <v>12</v>
      </c>
      <c r="N17" s="27">
        <f t="shared" si="9"/>
        <v>6</v>
      </c>
      <c r="O17" s="27">
        <f t="shared" si="3"/>
        <v>6</v>
      </c>
      <c r="P17" s="604"/>
      <c r="R17">
        <v>300</v>
      </c>
      <c r="S17" s="171">
        <v>575</v>
      </c>
      <c r="T17">
        <f t="shared" si="4"/>
        <v>275</v>
      </c>
      <c r="V17" s="579"/>
      <c r="W17" s="171" t="s">
        <v>242</v>
      </c>
      <c r="X17" s="168">
        <v>275</v>
      </c>
      <c r="Y17" s="171">
        <v>1.02</v>
      </c>
      <c r="Z17" s="168">
        <v>225</v>
      </c>
      <c r="AA17" s="107">
        <f t="shared" si="10"/>
        <v>63112.5</v>
      </c>
      <c r="AB17" s="607"/>
      <c r="AC17" s="583"/>
      <c r="AD17" s="590"/>
      <c r="AE17" s="582"/>
      <c r="AF17" s="591"/>
      <c r="AG17" s="582"/>
      <c r="AH17" s="171">
        <v>12</v>
      </c>
      <c r="AI17" s="27">
        <f t="shared" si="7"/>
        <v>5.5</v>
      </c>
      <c r="AJ17" s="27">
        <f t="shared" si="6"/>
        <v>6.5</v>
      </c>
      <c r="AK17" s="604"/>
    </row>
    <row r="18" spans="1:37">
      <c r="A18" s="579"/>
      <c r="B18" s="171" t="s">
        <v>101</v>
      </c>
      <c r="C18" s="168">
        <v>300</v>
      </c>
      <c r="D18" s="171">
        <v>1.02</v>
      </c>
      <c r="E18" s="168">
        <v>225</v>
      </c>
      <c r="F18" s="107">
        <f t="shared" si="1"/>
        <v>68850</v>
      </c>
      <c r="G18" s="607"/>
      <c r="H18" s="600"/>
      <c r="I18" s="590"/>
      <c r="J18" s="582"/>
      <c r="K18" s="591"/>
      <c r="L18" s="582"/>
      <c r="M18" s="171">
        <v>12</v>
      </c>
      <c r="N18" s="27">
        <f t="shared" si="9"/>
        <v>6</v>
      </c>
      <c r="O18" s="27">
        <f t="shared" si="3"/>
        <v>6</v>
      </c>
      <c r="P18" s="604"/>
      <c r="R18">
        <v>300</v>
      </c>
      <c r="S18" s="171">
        <v>600</v>
      </c>
      <c r="T18">
        <f t="shared" si="4"/>
        <v>300</v>
      </c>
      <c r="V18" s="579"/>
      <c r="W18" s="171" t="s">
        <v>101</v>
      </c>
      <c r="X18" s="168">
        <v>300</v>
      </c>
      <c r="Y18" s="171">
        <v>1.02</v>
      </c>
      <c r="Z18" s="168">
        <v>225</v>
      </c>
      <c r="AA18" s="107">
        <f t="shared" si="10"/>
        <v>68850</v>
      </c>
      <c r="AB18" s="607"/>
      <c r="AC18" s="583"/>
      <c r="AD18" s="590"/>
      <c r="AE18" s="582"/>
      <c r="AF18" s="591"/>
      <c r="AG18" s="582"/>
      <c r="AH18" s="171">
        <v>12</v>
      </c>
      <c r="AI18" s="27">
        <f t="shared" si="7"/>
        <v>6</v>
      </c>
      <c r="AJ18" s="27">
        <f t="shared" si="6"/>
        <v>6</v>
      </c>
      <c r="AK18" s="604"/>
    </row>
    <row r="19" spans="1:37">
      <c r="A19" s="579"/>
      <c r="B19" s="171" t="s">
        <v>110</v>
      </c>
      <c r="C19" s="168">
        <v>300</v>
      </c>
      <c r="D19" s="171">
        <v>1.02</v>
      </c>
      <c r="E19" s="168">
        <v>225</v>
      </c>
      <c r="F19" s="107">
        <f t="shared" si="1"/>
        <v>68850</v>
      </c>
      <c r="G19" s="607"/>
      <c r="H19" s="597"/>
      <c r="I19" s="590"/>
      <c r="J19" s="582"/>
      <c r="K19" s="591"/>
      <c r="L19" s="582"/>
      <c r="M19" s="171">
        <v>11</v>
      </c>
      <c r="N19" s="27">
        <f t="shared" si="9"/>
        <v>6</v>
      </c>
      <c r="O19" s="27">
        <f t="shared" si="3"/>
        <v>5</v>
      </c>
      <c r="P19" s="604"/>
      <c r="R19">
        <v>300</v>
      </c>
      <c r="S19" s="171">
        <v>529</v>
      </c>
      <c r="T19">
        <f t="shared" si="4"/>
        <v>229</v>
      </c>
      <c r="V19" s="579"/>
      <c r="W19" s="171" t="s">
        <v>110</v>
      </c>
      <c r="X19" s="168">
        <v>229</v>
      </c>
      <c r="Y19" s="171">
        <v>1.02</v>
      </c>
      <c r="Z19" s="168">
        <v>225</v>
      </c>
      <c r="AA19" s="107">
        <f t="shared" si="10"/>
        <v>52555.5</v>
      </c>
      <c r="AB19" s="607"/>
      <c r="AC19" s="583"/>
      <c r="AD19" s="590"/>
      <c r="AE19" s="582"/>
      <c r="AF19" s="591"/>
      <c r="AG19" s="582"/>
      <c r="AH19" s="171">
        <v>11</v>
      </c>
      <c r="AI19" s="27">
        <f t="shared" si="7"/>
        <v>4.58</v>
      </c>
      <c r="AJ19" s="27">
        <f t="shared" si="6"/>
        <v>6.42</v>
      </c>
      <c r="AK19" s="604"/>
    </row>
    <row r="20" spans="1:37">
      <c r="A20" s="579" t="s">
        <v>236</v>
      </c>
      <c r="B20" s="171" t="s">
        <v>101</v>
      </c>
      <c r="C20" s="168">
        <v>600</v>
      </c>
      <c r="D20" s="171">
        <v>1.2</v>
      </c>
      <c r="E20" s="168">
        <v>225</v>
      </c>
      <c r="F20" s="107">
        <f t="shared" si="1"/>
        <v>162000</v>
      </c>
      <c r="G20" s="594">
        <v>3195</v>
      </c>
      <c r="H20" s="596">
        <v>10170</v>
      </c>
      <c r="I20" s="590">
        <v>515</v>
      </c>
      <c r="J20" s="598">
        <f>G20/H20*SUM(C20:C28)*515</f>
        <v>810578.09734513273</v>
      </c>
      <c r="K20" s="591">
        <f>J20+SUM(F20:F28)</f>
        <v>2163278.0973451328</v>
      </c>
      <c r="L20" s="582">
        <f>K20/SUM(C20:C28)</f>
        <v>431.7920353982301</v>
      </c>
      <c r="M20" s="171">
        <v>40</v>
      </c>
      <c r="N20" s="27">
        <f t="shared" si="2"/>
        <v>20</v>
      </c>
      <c r="O20" s="27">
        <f t="shared" si="3"/>
        <v>20</v>
      </c>
      <c r="P20" s="604">
        <v>6000</v>
      </c>
      <c r="Q20" s="39">
        <f>J20+AE20</f>
        <v>1645425</v>
      </c>
      <c r="R20">
        <v>600</v>
      </c>
      <c r="S20" s="171">
        <v>1200</v>
      </c>
      <c r="T20">
        <f t="shared" si="4"/>
        <v>600</v>
      </c>
      <c r="V20" s="579" t="s">
        <v>236</v>
      </c>
      <c r="W20" s="171" t="s">
        <v>101</v>
      </c>
      <c r="X20" s="168">
        <v>600</v>
      </c>
      <c r="Y20" s="171">
        <v>1.2</v>
      </c>
      <c r="Z20" s="168">
        <v>225</v>
      </c>
      <c r="AA20" s="107">
        <f t="shared" si="10"/>
        <v>162000</v>
      </c>
      <c r="AB20" s="594">
        <v>3195</v>
      </c>
      <c r="AC20" s="583">
        <v>10170</v>
      </c>
      <c r="AD20" s="590">
        <v>515</v>
      </c>
      <c r="AE20" s="582">
        <f>AB20/AC20*SUM(X20:X28)*AD20</f>
        <v>834846.90265486727</v>
      </c>
      <c r="AF20" s="591">
        <f>AE20+SUM(AA20:AA28)</f>
        <v>2228046.9026548672</v>
      </c>
      <c r="AG20" s="582">
        <f>AF20/SUM(X20:X28)</f>
        <v>431.79203539823004</v>
      </c>
      <c r="AH20" s="171">
        <v>40</v>
      </c>
      <c r="AI20" s="27">
        <f t="shared" si="5"/>
        <v>20</v>
      </c>
      <c r="AJ20" s="27">
        <f t="shared" si="6"/>
        <v>20</v>
      </c>
      <c r="AK20" s="604">
        <v>6000</v>
      </c>
    </row>
    <row r="21" spans="1:37">
      <c r="A21" s="579"/>
      <c r="B21" s="171" t="s">
        <v>102</v>
      </c>
      <c r="C21" s="168">
        <v>600</v>
      </c>
      <c r="D21" s="171">
        <v>1.2</v>
      </c>
      <c r="E21" s="168">
        <v>225</v>
      </c>
      <c r="F21" s="107">
        <f t="shared" si="1"/>
        <v>162000</v>
      </c>
      <c r="G21" s="609"/>
      <c r="H21" s="600"/>
      <c r="I21" s="590"/>
      <c r="J21" s="567"/>
      <c r="K21" s="591"/>
      <c r="L21" s="582"/>
      <c r="M21" s="171">
        <v>40</v>
      </c>
      <c r="N21" s="27">
        <f t="shared" si="2"/>
        <v>20</v>
      </c>
      <c r="O21" s="27">
        <f t="shared" si="3"/>
        <v>20</v>
      </c>
      <c r="P21" s="604"/>
      <c r="R21">
        <v>600</v>
      </c>
      <c r="S21" s="171">
        <v>1200</v>
      </c>
      <c r="T21">
        <f t="shared" si="4"/>
        <v>600</v>
      </c>
      <c r="V21" s="579"/>
      <c r="W21" s="171" t="s">
        <v>102</v>
      </c>
      <c r="X21" s="168">
        <v>600</v>
      </c>
      <c r="Y21" s="171">
        <v>1.2</v>
      </c>
      <c r="Z21" s="168">
        <v>225</v>
      </c>
      <c r="AA21" s="107">
        <f t="shared" si="10"/>
        <v>162000</v>
      </c>
      <c r="AB21" s="609"/>
      <c r="AC21" s="583"/>
      <c r="AD21" s="590"/>
      <c r="AE21" s="582"/>
      <c r="AF21" s="591"/>
      <c r="AG21" s="582"/>
      <c r="AH21" s="171">
        <v>40</v>
      </c>
      <c r="AI21" s="27">
        <f t="shared" si="5"/>
        <v>20</v>
      </c>
      <c r="AJ21" s="27">
        <f t="shared" si="6"/>
        <v>20</v>
      </c>
      <c r="AK21" s="604"/>
    </row>
    <row r="22" spans="1:37">
      <c r="A22" s="579"/>
      <c r="B22" s="171" t="s">
        <v>95</v>
      </c>
      <c r="C22" s="168">
        <v>540</v>
      </c>
      <c r="D22" s="171">
        <v>1.2</v>
      </c>
      <c r="E22" s="168">
        <v>225</v>
      </c>
      <c r="F22" s="107">
        <f t="shared" si="1"/>
        <v>145800</v>
      </c>
      <c r="G22" s="609"/>
      <c r="H22" s="600"/>
      <c r="I22" s="590"/>
      <c r="J22" s="567"/>
      <c r="K22" s="591"/>
      <c r="L22" s="582"/>
      <c r="M22" s="171">
        <v>38</v>
      </c>
      <c r="N22" s="27">
        <f t="shared" si="2"/>
        <v>18</v>
      </c>
      <c r="O22" s="27">
        <f t="shared" si="3"/>
        <v>20</v>
      </c>
      <c r="P22" s="604"/>
      <c r="R22">
        <v>540</v>
      </c>
      <c r="S22" s="171">
        <v>1161</v>
      </c>
      <c r="T22">
        <f t="shared" si="4"/>
        <v>621</v>
      </c>
      <c r="V22" s="579"/>
      <c r="W22" s="171" t="s">
        <v>95</v>
      </c>
      <c r="X22" s="168">
        <v>621</v>
      </c>
      <c r="Y22" s="171">
        <v>1.2</v>
      </c>
      <c r="Z22" s="168">
        <v>225</v>
      </c>
      <c r="AA22" s="107">
        <f t="shared" si="10"/>
        <v>167669.99999999997</v>
      </c>
      <c r="AB22" s="609"/>
      <c r="AC22" s="583"/>
      <c r="AD22" s="590"/>
      <c r="AE22" s="582"/>
      <c r="AF22" s="591"/>
      <c r="AG22" s="582"/>
      <c r="AH22" s="171">
        <v>38</v>
      </c>
      <c r="AI22" s="27">
        <f t="shared" si="5"/>
        <v>20.7</v>
      </c>
      <c r="AJ22" s="27">
        <f t="shared" si="6"/>
        <v>17.3</v>
      </c>
      <c r="AK22" s="604"/>
    </row>
    <row r="23" spans="1:37">
      <c r="A23" s="579"/>
      <c r="B23" s="171" t="s">
        <v>100</v>
      </c>
      <c r="C23" s="168">
        <v>570</v>
      </c>
      <c r="D23" s="171">
        <v>1.2</v>
      </c>
      <c r="E23" s="168">
        <v>225</v>
      </c>
      <c r="F23" s="107">
        <f t="shared" si="1"/>
        <v>153900</v>
      </c>
      <c r="G23" s="609"/>
      <c r="H23" s="600"/>
      <c r="I23" s="590"/>
      <c r="J23" s="567"/>
      <c r="K23" s="591"/>
      <c r="L23" s="582"/>
      <c r="M23" s="171">
        <v>39</v>
      </c>
      <c r="N23" s="27">
        <f t="shared" si="2"/>
        <v>19</v>
      </c>
      <c r="O23" s="27">
        <f t="shared" si="3"/>
        <v>20</v>
      </c>
      <c r="P23" s="604"/>
      <c r="R23">
        <v>570</v>
      </c>
      <c r="S23" s="171">
        <v>1162</v>
      </c>
      <c r="T23">
        <f t="shared" si="4"/>
        <v>592</v>
      </c>
      <c r="V23" s="579"/>
      <c r="W23" s="171" t="s">
        <v>100</v>
      </c>
      <c r="X23" s="168">
        <v>592</v>
      </c>
      <c r="Y23" s="171">
        <v>1.2</v>
      </c>
      <c r="Z23" s="168">
        <v>225</v>
      </c>
      <c r="AA23" s="107">
        <f t="shared" si="10"/>
        <v>159840</v>
      </c>
      <c r="AB23" s="609"/>
      <c r="AC23" s="583"/>
      <c r="AD23" s="590"/>
      <c r="AE23" s="582"/>
      <c r="AF23" s="591"/>
      <c r="AG23" s="582"/>
      <c r="AH23" s="171">
        <v>39</v>
      </c>
      <c r="AI23" s="27">
        <f t="shared" si="5"/>
        <v>19.733333333333334</v>
      </c>
      <c r="AJ23" s="27">
        <f t="shared" si="6"/>
        <v>19.266666666666666</v>
      </c>
      <c r="AK23" s="604"/>
    </row>
    <row r="24" spans="1:37">
      <c r="A24" s="579"/>
      <c r="B24" s="171" t="s">
        <v>243</v>
      </c>
      <c r="C24" s="168">
        <v>600</v>
      </c>
      <c r="D24" s="171">
        <v>1.2</v>
      </c>
      <c r="E24" s="168">
        <v>225</v>
      </c>
      <c r="F24" s="107">
        <f t="shared" si="1"/>
        <v>162000</v>
      </c>
      <c r="G24" s="609"/>
      <c r="H24" s="600"/>
      <c r="I24" s="590"/>
      <c r="J24" s="567"/>
      <c r="K24" s="591"/>
      <c r="L24" s="582"/>
      <c r="M24" s="171">
        <v>41</v>
      </c>
      <c r="N24" s="27">
        <f t="shared" si="2"/>
        <v>20</v>
      </c>
      <c r="O24" s="27">
        <f t="shared" si="3"/>
        <v>21</v>
      </c>
      <c r="P24" s="604"/>
      <c r="R24">
        <v>600</v>
      </c>
      <c r="S24" s="171">
        <v>1245</v>
      </c>
      <c r="T24">
        <f t="shared" si="4"/>
        <v>645</v>
      </c>
      <c r="V24" s="579"/>
      <c r="W24" s="171" t="s">
        <v>243</v>
      </c>
      <c r="X24" s="168">
        <v>645</v>
      </c>
      <c r="Y24" s="171">
        <v>1.2</v>
      </c>
      <c r="Z24" s="168">
        <v>225</v>
      </c>
      <c r="AA24" s="107">
        <f t="shared" si="10"/>
        <v>174150</v>
      </c>
      <c r="AB24" s="609"/>
      <c r="AC24" s="583"/>
      <c r="AD24" s="590"/>
      <c r="AE24" s="582"/>
      <c r="AF24" s="591"/>
      <c r="AG24" s="582"/>
      <c r="AH24" s="171">
        <v>41</v>
      </c>
      <c r="AI24" s="27">
        <f t="shared" si="5"/>
        <v>21.5</v>
      </c>
      <c r="AJ24" s="27">
        <f t="shared" si="6"/>
        <v>19.5</v>
      </c>
      <c r="AK24" s="604"/>
    </row>
    <row r="25" spans="1:37">
      <c r="A25" s="579"/>
      <c r="B25" s="171" t="s">
        <v>150</v>
      </c>
      <c r="C25" s="168">
        <v>600</v>
      </c>
      <c r="D25" s="171">
        <v>1.2</v>
      </c>
      <c r="E25" s="168">
        <v>225</v>
      </c>
      <c r="F25" s="107">
        <f t="shared" si="1"/>
        <v>162000</v>
      </c>
      <c r="G25" s="609"/>
      <c r="H25" s="600"/>
      <c r="I25" s="590"/>
      <c r="J25" s="567"/>
      <c r="K25" s="591"/>
      <c r="L25" s="582"/>
      <c r="M25" s="171">
        <v>40</v>
      </c>
      <c r="N25" s="27">
        <f t="shared" si="2"/>
        <v>20</v>
      </c>
      <c r="O25" s="27">
        <f t="shared" si="3"/>
        <v>20</v>
      </c>
      <c r="P25" s="604"/>
      <c r="R25">
        <v>600</v>
      </c>
      <c r="S25" s="171">
        <v>1217</v>
      </c>
      <c r="T25">
        <f t="shared" si="4"/>
        <v>617</v>
      </c>
      <c r="V25" s="579"/>
      <c r="W25" s="171" t="s">
        <v>150</v>
      </c>
      <c r="X25" s="168">
        <v>617</v>
      </c>
      <c r="Y25" s="171">
        <v>1.2</v>
      </c>
      <c r="Z25" s="168">
        <v>225</v>
      </c>
      <c r="AA25" s="107">
        <f t="shared" si="10"/>
        <v>166590</v>
      </c>
      <c r="AB25" s="609"/>
      <c r="AC25" s="583"/>
      <c r="AD25" s="590"/>
      <c r="AE25" s="582"/>
      <c r="AF25" s="591"/>
      <c r="AG25" s="582"/>
      <c r="AH25" s="171">
        <v>40</v>
      </c>
      <c r="AI25" s="27">
        <f t="shared" si="5"/>
        <v>20.566666666666666</v>
      </c>
      <c r="AJ25" s="27">
        <f t="shared" si="6"/>
        <v>19.433333333333334</v>
      </c>
      <c r="AK25" s="604"/>
    </row>
    <row r="26" spans="1:37">
      <c r="A26" s="579"/>
      <c r="B26" s="171" t="s">
        <v>244</v>
      </c>
      <c r="C26" s="168">
        <v>480</v>
      </c>
      <c r="D26" s="171">
        <v>1.2</v>
      </c>
      <c r="E26" s="168">
        <v>225</v>
      </c>
      <c r="F26" s="107">
        <f t="shared" si="1"/>
        <v>129600</v>
      </c>
      <c r="G26" s="609"/>
      <c r="H26" s="600"/>
      <c r="I26" s="590"/>
      <c r="J26" s="567"/>
      <c r="K26" s="591"/>
      <c r="L26" s="582"/>
      <c r="M26" s="171">
        <v>32</v>
      </c>
      <c r="N26" s="27">
        <f t="shared" si="2"/>
        <v>16</v>
      </c>
      <c r="O26" s="27">
        <f t="shared" si="3"/>
        <v>16</v>
      </c>
      <c r="P26" s="604"/>
      <c r="R26">
        <v>480</v>
      </c>
      <c r="S26" s="171">
        <v>968</v>
      </c>
      <c r="T26">
        <f t="shared" si="4"/>
        <v>488</v>
      </c>
      <c r="V26" s="579"/>
      <c r="W26" s="171" t="s">
        <v>244</v>
      </c>
      <c r="X26" s="168">
        <v>488</v>
      </c>
      <c r="Y26" s="171">
        <v>1.2</v>
      </c>
      <c r="Z26" s="168">
        <v>225</v>
      </c>
      <c r="AA26" s="107">
        <f t="shared" si="10"/>
        <v>131760</v>
      </c>
      <c r="AB26" s="609"/>
      <c r="AC26" s="583"/>
      <c r="AD26" s="590"/>
      <c r="AE26" s="582"/>
      <c r="AF26" s="591"/>
      <c r="AG26" s="582"/>
      <c r="AH26" s="171">
        <v>32</v>
      </c>
      <c r="AI26" s="27">
        <f t="shared" si="5"/>
        <v>16.266666666666666</v>
      </c>
      <c r="AJ26" s="27">
        <f t="shared" si="6"/>
        <v>15.733333333333334</v>
      </c>
      <c r="AK26" s="604"/>
    </row>
    <row r="27" spans="1:37">
      <c r="A27" s="579"/>
      <c r="B27" s="171" t="s">
        <v>151</v>
      </c>
      <c r="C27" s="168">
        <v>510</v>
      </c>
      <c r="D27" s="171">
        <v>1.2</v>
      </c>
      <c r="E27" s="168">
        <v>225</v>
      </c>
      <c r="F27" s="107">
        <f t="shared" si="1"/>
        <v>137700</v>
      </c>
      <c r="G27" s="609"/>
      <c r="H27" s="600"/>
      <c r="I27" s="590"/>
      <c r="J27" s="567"/>
      <c r="K27" s="591"/>
      <c r="L27" s="582"/>
      <c r="M27" s="171">
        <v>34</v>
      </c>
      <c r="N27" s="27">
        <f t="shared" si="2"/>
        <v>17</v>
      </c>
      <c r="O27" s="27">
        <f t="shared" si="3"/>
        <v>17</v>
      </c>
      <c r="P27" s="604"/>
      <c r="R27">
        <v>510</v>
      </c>
      <c r="S27" s="171">
        <v>1027</v>
      </c>
      <c r="T27">
        <f t="shared" si="4"/>
        <v>517</v>
      </c>
      <c r="V27" s="579"/>
      <c r="W27" s="171" t="s">
        <v>151</v>
      </c>
      <c r="X27" s="168">
        <v>517</v>
      </c>
      <c r="Y27" s="171">
        <v>1.2</v>
      </c>
      <c r="Z27" s="168">
        <v>225</v>
      </c>
      <c r="AA27" s="107">
        <f t="shared" si="10"/>
        <v>139590</v>
      </c>
      <c r="AB27" s="609"/>
      <c r="AC27" s="583"/>
      <c r="AD27" s="590"/>
      <c r="AE27" s="582"/>
      <c r="AF27" s="591"/>
      <c r="AG27" s="582"/>
      <c r="AH27" s="171">
        <v>34</v>
      </c>
      <c r="AI27" s="27">
        <f t="shared" si="5"/>
        <v>17.233333333333334</v>
      </c>
      <c r="AJ27" s="27">
        <f t="shared" si="6"/>
        <v>16.766666666666666</v>
      </c>
      <c r="AK27" s="604"/>
    </row>
    <row r="28" spans="1:37">
      <c r="A28" s="579"/>
      <c r="B28" s="171" t="s">
        <v>190</v>
      </c>
      <c r="C28" s="168">
        <v>510</v>
      </c>
      <c r="D28" s="171">
        <v>1.2</v>
      </c>
      <c r="E28" s="168">
        <v>225</v>
      </c>
      <c r="F28" s="107">
        <f t="shared" si="1"/>
        <v>137700</v>
      </c>
      <c r="G28" s="595"/>
      <c r="H28" s="597"/>
      <c r="I28" s="590"/>
      <c r="J28" s="568"/>
      <c r="K28" s="591"/>
      <c r="L28" s="582"/>
      <c r="M28" s="171">
        <v>33</v>
      </c>
      <c r="N28" s="27">
        <f t="shared" si="2"/>
        <v>17</v>
      </c>
      <c r="O28" s="27">
        <f t="shared" si="3"/>
        <v>16</v>
      </c>
      <c r="P28" s="604"/>
      <c r="R28">
        <v>510</v>
      </c>
      <c r="S28" s="171">
        <v>990</v>
      </c>
      <c r="T28">
        <f t="shared" si="4"/>
        <v>480</v>
      </c>
      <c r="V28" s="579"/>
      <c r="W28" s="171" t="s">
        <v>190</v>
      </c>
      <c r="X28" s="168">
        <v>480</v>
      </c>
      <c r="Y28" s="171">
        <v>1.2</v>
      </c>
      <c r="Z28" s="168">
        <v>225</v>
      </c>
      <c r="AA28" s="107">
        <f t="shared" si="10"/>
        <v>129600</v>
      </c>
      <c r="AB28" s="595"/>
      <c r="AC28" s="583"/>
      <c r="AD28" s="590"/>
      <c r="AE28" s="582"/>
      <c r="AF28" s="591"/>
      <c r="AG28" s="582"/>
      <c r="AH28" s="171">
        <v>33</v>
      </c>
      <c r="AI28" s="27">
        <f t="shared" si="5"/>
        <v>16</v>
      </c>
      <c r="AJ28" s="27">
        <f t="shared" si="6"/>
        <v>17</v>
      </c>
      <c r="AK28" s="604"/>
    </row>
    <row r="29" spans="1:37">
      <c r="A29" s="579" t="s">
        <v>237</v>
      </c>
      <c r="B29" s="167" t="s">
        <v>243</v>
      </c>
      <c r="C29" s="168">
        <v>450</v>
      </c>
      <c r="D29" s="171">
        <v>1.2</v>
      </c>
      <c r="E29" s="168">
        <v>225</v>
      </c>
      <c r="F29" s="107">
        <f t="shared" si="1"/>
        <v>121500</v>
      </c>
      <c r="G29" s="594">
        <v>2695</v>
      </c>
      <c r="H29" s="596">
        <v>7495</v>
      </c>
      <c r="I29" s="590">
        <v>515</v>
      </c>
      <c r="J29" s="598">
        <f>G29/H29*SUM(C29:C35)*515</f>
        <v>616649.79986657773</v>
      </c>
      <c r="K29" s="591">
        <f>J29+SUM(F29:F35)</f>
        <v>1515749.7998665776</v>
      </c>
      <c r="L29" s="582">
        <f>K29/SUM(C29:C35)</f>
        <v>455.18012008005331</v>
      </c>
      <c r="M29" s="171">
        <v>35</v>
      </c>
      <c r="N29" s="27">
        <f t="shared" si="2"/>
        <v>15</v>
      </c>
      <c r="O29" s="27">
        <f t="shared" si="3"/>
        <v>20</v>
      </c>
      <c r="P29" s="604"/>
      <c r="Q29" s="39">
        <f>J29+AE29</f>
        <v>1387925</v>
      </c>
      <c r="R29">
        <v>450</v>
      </c>
      <c r="S29" s="171">
        <v>1068</v>
      </c>
      <c r="T29">
        <f t="shared" si="4"/>
        <v>618</v>
      </c>
      <c r="V29" s="579" t="s">
        <v>237</v>
      </c>
      <c r="W29" s="167" t="s">
        <v>243</v>
      </c>
      <c r="X29" s="168">
        <v>618</v>
      </c>
      <c r="Y29" s="171">
        <v>1.2</v>
      </c>
      <c r="Z29" s="168">
        <v>225</v>
      </c>
      <c r="AA29" s="107">
        <f t="shared" si="10"/>
        <v>166860</v>
      </c>
      <c r="AB29" s="594">
        <v>2695</v>
      </c>
      <c r="AC29" s="583">
        <v>7495</v>
      </c>
      <c r="AD29" s="590">
        <v>515</v>
      </c>
      <c r="AE29" s="582">
        <f>AB29/AC29*SUM(X29:X35)*AD20</f>
        <v>771275.20013342227</v>
      </c>
      <c r="AF29" s="591">
        <f>AE29+SUM(AA29:AA35)</f>
        <v>1895825.2001334224</v>
      </c>
      <c r="AG29" s="582">
        <f>AF29/SUM(X29:X35)</f>
        <v>455.18012008005337</v>
      </c>
      <c r="AH29" s="171">
        <v>35</v>
      </c>
      <c r="AI29" s="27">
        <f t="shared" si="5"/>
        <v>20.6</v>
      </c>
      <c r="AJ29" s="27">
        <f t="shared" si="6"/>
        <v>14.399999999999999</v>
      </c>
      <c r="AK29" s="604"/>
    </row>
    <row r="30" spans="1:37">
      <c r="A30" s="579"/>
      <c r="B30" s="171" t="s">
        <v>150</v>
      </c>
      <c r="C30" s="168">
        <v>450</v>
      </c>
      <c r="D30" s="171">
        <v>1.2</v>
      </c>
      <c r="E30" s="168">
        <v>225</v>
      </c>
      <c r="F30" s="107">
        <f t="shared" si="1"/>
        <v>121500</v>
      </c>
      <c r="G30" s="609"/>
      <c r="H30" s="600"/>
      <c r="I30" s="590"/>
      <c r="J30" s="601"/>
      <c r="K30" s="591"/>
      <c r="L30" s="582"/>
      <c r="M30" s="171">
        <v>35</v>
      </c>
      <c r="N30" s="27">
        <f t="shared" si="2"/>
        <v>15</v>
      </c>
      <c r="O30" s="27">
        <f t="shared" si="3"/>
        <v>20</v>
      </c>
      <c r="P30" s="604"/>
      <c r="R30">
        <v>450</v>
      </c>
      <c r="S30" s="171">
        <v>1048</v>
      </c>
      <c r="T30">
        <f t="shared" si="4"/>
        <v>598</v>
      </c>
      <c r="V30" s="579"/>
      <c r="W30" s="171" t="s">
        <v>150</v>
      </c>
      <c r="X30" s="168">
        <v>598</v>
      </c>
      <c r="Y30" s="171">
        <v>1.2</v>
      </c>
      <c r="Z30" s="168">
        <v>225</v>
      </c>
      <c r="AA30" s="107">
        <f t="shared" si="10"/>
        <v>161460</v>
      </c>
      <c r="AB30" s="609"/>
      <c r="AC30" s="583"/>
      <c r="AD30" s="590"/>
      <c r="AE30" s="582"/>
      <c r="AF30" s="591"/>
      <c r="AG30" s="582"/>
      <c r="AH30" s="171">
        <v>35</v>
      </c>
      <c r="AI30" s="27">
        <f t="shared" si="5"/>
        <v>19.933333333333334</v>
      </c>
      <c r="AJ30" s="27">
        <f t="shared" si="6"/>
        <v>15.066666666666666</v>
      </c>
      <c r="AK30" s="604"/>
    </row>
    <row r="31" spans="1:37">
      <c r="A31" s="579"/>
      <c r="B31" s="171" t="s">
        <v>100</v>
      </c>
      <c r="C31" s="168">
        <v>510</v>
      </c>
      <c r="D31" s="171">
        <v>1.2</v>
      </c>
      <c r="E31" s="168">
        <v>225</v>
      </c>
      <c r="F31" s="107">
        <f t="shared" si="1"/>
        <v>137700</v>
      </c>
      <c r="G31" s="609"/>
      <c r="H31" s="600"/>
      <c r="I31" s="590"/>
      <c r="J31" s="601"/>
      <c r="K31" s="591"/>
      <c r="L31" s="582"/>
      <c r="M31" s="171">
        <v>37</v>
      </c>
      <c r="N31" s="27">
        <f t="shared" si="2"/>
        <v>17</v>
      </c>
      <c r="O31" s="27">
        <f t="shared" si="3"/>
        <v>20</v>
      </c>
      <c r="P31" s="604"/>
      <c r="R31">
        <v>510</v>
      </c>
      <c r="S31" s="171">
        <v>1105</v>
      </c>
      <c r="T31">
        <f t="shared" si="4"/>
        <v>595</v>
      </c>
      <c r="V31" s="579"/>
      <c r="W31" s="171" t="s">
        <v>100</v>
      </c>
      <c r="X31" s="168">
        <v>595</v>
      </c>
      <c r="Y31" s="171">
        <v>1.2</v>
      </c>
      <c r="Z31" s="168">
        <v>225</v>
      </c>
      <c r="AA31" s="107">
        <f t="shared" si="10"/>
        <v>160650</v>
      </c>
      <c r="AB31" s="609"/>
      <c r="AC31" s="583"/>
      <c r="AD31" s="590"/>
      <c r="AE31" s="582"/>
      <c r="AF31" s="591"/>
      <c r="AG31" s="582"/>
      <c r="AH31" s="171">
        <v>37</v>
      </c>
      <c r="AI31" s="27">
        <f t="shared" si="5"/>
        <v>19.833333333333332</v>
      </c>
      <c r="AJ31" s="27">
        <f t="shared" si="6"/>
        <v>17.166666666666668</v>
      </c>
      <c r="AK31" s="604"/>
    </row>
    <row r="32" spans="1:37">
      <c r="A32" s="579"/>
      <c r="B32" s="171" t="s">
        <v>95</v>
      </c>
      <c r="C32" s="168">
        <v>450</v>
      </c>
      <c r="D32" s="171">
        <v>1.2</v>
      </c>
      <c r="E32" s="168">
        <v>225</v>
      </c>
      <c r="F32" s="107">
        <f t="shared" si="1"/>
        <v>121500</v>
      </c>
      <c r="G32" s="609"/>
      <c r="H32" s="600"/>
      <c r="I32" s="590"/>
      <c r="J32" s="601"/>
      <c r="K32" s="591"/>
      <c r="L32" s="582"/>
      <c r="M32" s="171">
        <v>35</v>
      </c>
      <c r="N32" s="27">
        <f t="shared" si="2"/>
        <v>15</v>
      </c>
      <c r="O32" s="27">
        <f t="shared" si="3"/>
        <v>20</v>
      </c>
      <c r="P32" s="604"/>
      <c r="R32">
        <v>450</v>
      </c>
      <c r="S32" s="171">
        <v>1047</v>
      </c>
      <c r="T32">
        <f t="shared" si="4"/>
        <v>597</v>
      </c>
      <c r="V32" s="579"/>
      <c r="W32" s="171" t="s">
        <v>95</v>
      </c>
      <c r="X32" s="168">
        <v>597</v>
      </c>
      <c r="Y32" s="171">
        <v>1.2</v>
      </c>
      <c r="Z32" s="168">
        <v>225</v>
      </c>
      <c r="AA32" s="107">
        <f t="shared" si="10"/>
        <v>161190</v>
      </c>
      <c r="AB32" s="609"/>
      <c r="AC32" s="583"/>
      <c r="AD32" s="590"/>
      <c r="AE32" s="582"/>
      <c r="AF32" s="591"/>
      <c r="AG32" s="582"/>
      <c r="AH32" s="171">
        <v>35</v>
      </c>
      <c r="AI32" s="27">
        <f t="shared" si="5"/>
        <v>19.899999999999999</v>
      </c>
      <c r="AJ32" s="27">
        <f t="shared" si="6"/>
        <v>15.100000000000001</v>
      </c>
      <c r="AK32" s="604"/>
    </row>
    <row r="33" spans="1:37">
      <c r="A33" s="579"/>
      <c r="B33" s="171" t="s">
        <v>102</v>
      </c>
      <c r="C33" s="168">
        <v>450</v>
      </c>
      <c r="D33" s="171">
        <v>1.2</v>
      </c>
      <c r="E33" s="168">
        <v>225</v>
      </c>
      <c r="F33" s="107">
        <f t="shared" si="1"/>
        <v>121500</v>
      </c>
      <c r="G33" s="609"/>
      <c r="H33" s="600"/>
      <c r="I33" s="590"/>
      <c r="J33" s="601"/>
      <c r="K33" s="591"/>
      <c r="L33" s="582"/>
      <c r="M33" s="171">
        <v>34</v>
      </c>
      <c r="N33" s="27">
        <f t="shared" si="2"/>
        <v>15</v>
      </c>
      <c r="O33" s="27">
        <f t="shared" si="3"/>
        <v>19</v>
      </c>
      <c r="P33" s="604"/>
      <c r="R33">
        <v>450</v>
      </c>
      <c r="S33" s="171">
        <v>1028</v>
      </c>
      <c r="T33">
        <f t="shared" si="4"/>
        <v>578</v>
      </c>
      <c r="V33" s="579"/>
      <c r="W33" s="171" t="s">
        <v>102</v>
      </c>
      <c r="X33" s="168">
        <v>578</v>
      </c>
      <c r="Y33" s="171">
        <v>1.2</v>
      </c>
      <c r="Z33" s="168">
        <v>225</v>
      </c>
      <c r="AA33" s="107">
        <f t="shared" si="10"/>
        <v>156060</v>
      </c>
      <c r="AB33" s="609"/>
      <c r="AC33" s="583"/>
      <c r="AD33" s="590"/>
      <c r="AE33" s="582"/>
      <c r="AF33" s="591"/>
      <c r="AG33" s="582"/>
      <c r="AH33" s="171">
        <v>34</v>
      </c>
      <c r="AI33" s="27">
        <f t="shared" si="5"/>
        <v>19.266666666666666</v>
      </c>
      <c r="AJ33" s="27">
        <f t="shared" si="6"/>
        <v>14.733333333333334</v>
      </c>
      <c r="AK33" s="604"/>
    </row>
    <row r="34" spans="1:37">
      <c r="A34" s="579"/>
      <c r="B34" s="171" t="s">
        <v>101</v>
      </c>
      <c r="C34" s="168">
        <v>510</v>
      </c>
      <c r="D34" s="171">
        <v>1.2</v>
      </c>
      <c r="E34" s="168">
        <v>225</v>
      </c>
      <c r="F34" s="107">
        <f t="shared" si="1"/>
        <v>137700</v>
      </c>
      <c r="G34" s="609"/>
      <c r="H34" s="600"/>
      <c r="I34" s="590"/>
      <c r="J34" s="601"/>
      <c r="K34" s="591"/>
      <c r="L34" s="582"/>
      <c r="M34" s="171">
        <v>36</v>
      </c>
      <c r="N34" s="27">
        <f t="shared" si="2"/>
        <v>17</v>
      </c>
      <c r="O34" s="27">
        <f t="shared" si="3"/>
        <v>19</v>
      </c>
      <c r="P34" s="604"/>
      <c r="R34">
        <v>510</v>
      </c>
      <c r="S34" s="171">
        <v>1071</v>
      </c>
      <c r="T34">
        <f t="shared" si="4"/>
        <v>561</v>
      </c>
      <c r="V34" s="579"/>
      <c r="W34" s="171" t="s">
        <v>101</v>
      </c>
      <c r="X34" s="168">
        <v>561</v>
      </c>
      <c r="Y34" s="171">
        <v>1.2</v>
      </c>
      <c r="Z34" s="168">
        <v>225</v>
      </c>
      <c r="AA34" s="107">
        <f t="shared" si="10"/>
        <v>151469.99999999997</v>
      </c>
      <c r="AB34" s="609"/>
      <c r="AC34" s="583"/>
      <c r="AD34" s="590"/>
      <c r="AE34" s="582"/>
      <c r="AF34" s="591"/>
      <c r="AG34" s="582"/>
      <c r="AH34" s="171">
        <v>36</v>
      </c>
      <c r="AI34" s="27">
        <f t="shared" si="5"/>
        <v>18.7</v>
      </c>
      <c r="AJ34" s="27">
        <f t="shared" si="6"/>
        <v>17.3</v>
      </c>
      <c r="AK34" s="604"/>
    </row>
    <row r="35" spans="1:37">
      <c r="A35" s="579"/>
      <c r="B35" s="171" t="s">
        <v>245</v>
      </c>
      <c r="C35" s="168">
        <v>510</v>
      </c>
      <c r="D35" s="171">
        <v>1.2</v>
      </c>
      <c r="E35" s="168">
        <v>225</v>
      </c>
      <c r="F35" s="107">
        <f t="shared" si="1"/>
        <v>137700</v>
      </c>
      <c r="G35" s="595"/>
      <c r="H35" s="597"/>
      <c r="I35" s="590"/>
      <c r="J35" s="599"/>
      <c r="K35" s="591"/>
      <c r="L35" s="582"/>
      <c r="M35" s="171">
        <v>38</v>
      </c>
      <c r="N35" s="27">
        <f t="shared" si="2"/>
        <v>17</v>
      </c>
      <c r="O35" s="27">
        <f t="shared" si="3"/>
        <v>21</v>
      </c>
      <c r="P35" s="604"/>
      <c r="R35">
        <v>510</v>
      </c>
      <c r="S35" s="171">
        <v>1128</v>
      </c>
      <c r="T35">
        <f t="shared" si="4"/>
        <v>618</v>
      </c>
      <c r="V35" s="579"/>
      <c r="W35" s="171" t="s">
        <v>245</v>
      </c>
      <c r="X35" s="168">
        <v>618</v>
      </c>
      <c r="Y35" s="171">
        <v>1.2</v>
      </c>
      <c r="Z35" s="168">
        <v>225</v>
      </c>
      <c r="AA35" s="107">
        <f t="shared" si="10"/>
        <v>166860</v>
      </c>
      <c r="AB35" s="595"/>
      <c r="AC35" s="583"/>
      <c r="AD35" s="590"/>
      <c r="AE35" s="582"/>
      <c r="AF35" s="591"/>
      <c r="AG35" s="582"/>
      <c r="AH35" s="171">
        <v>38</v>
      </c>
      <c r="AI35" s="27">
        <f t="shared" si="5"/>
        <v>20.6</v>
      </c>
      <c r="AJ35" s="27">
        <f t="shared" si="6"/>
        <v>17.399999999999999</v>
      </c>
      <c r="AK35" s="604"/>
    </row>
    <row r="36" spans="1:37">
      <c r="A36" s="579" t="s">
        <v>105</v>
      </c>
      <c r="B36" s="171" t="s">
        <v>246</v>
      </c>
      <c r="C36" s="168">
        <v>0</v>
      </c>
      <c r="D36" s="171">
        <v>2.35</v>
      </c>
      <c r="E36" s="168">
        <v>225</v>
      </c>
      <c r="F36" s="107">
        <f t="shared" si="1"/>
        <v>0</v>
      </c>
      <c r="G36" s="607">
        <v>400</v>
      </c>
      <c r="H36" s="540">
        <v>878</v>
      </c>
      <c r="I36" s="590">
        <v>515</v>
      </c>
      <c r="J36" s="590">
        <f>G36/H36*SUM(C36:C39)*I3</f>
        <v>0</v>
      </c>
      <c r="K36" s="591">
        <f>J36+SUM(F36:F39)</f>
        <v>0</v>
      </c>
      <c r="L36" s="582" t="e">
        <f>K36/SUM(C36:C39)</f>
        <v>#DIV/0!</v>
      </c>
      <c r="M36" s="171">
        <v>12</v>
      </c>
      <c r="N36" s="27">
        <f t="shared" si="2"/>
        <v>0</v>
      </c>
      <c r="O36" s="27">
        <f t="shared" si="3"/>
        <v>12</v>
      </c>
      <c r="P36" s="604">
        <v>345</v>
      </c>
      <c r="Q36">
        <f>J36+AE36</f>
        <v>206000</v>
      </c>
      <c r="S36" s="171">
        <v>385.5</v>
      </c>
      <c r="T36">
        <f t="shared" si="4"/>
        <v>385.5</v>
      </c>
      <c r="V36" s="579" t="s">
        <v>105</v>
      </c>
      <c r="W36" s="171" t="s">
        <v>246</v>
      </c>
      <c r="X36" s="168">
        <v>385.5</v>
      </c>
      <c r="Y36" s="171">
        <v>2.35</v>
      </c>
      <c r="Z36" s="168">
        <v>225</v>
      </c>
      <c r="AA36" s="107">
        <f t="shared" si="10"/>
        <v>203833.12500000003</v>
      </c>
      <c r="AB36" s="607">
        <v>400</v>
      </c>
      <c r="AC36" s="590">
        <v>878</v>
      </c>
      <c r="AD36" s="590">
        <v>515</v>
      </c>
      <c r="AE36" s="590">
        <f>AB36/AC36*SUM(X36:X39)*AD3</f>
        <v>206000</v>
      </c>
      <c r="AF36" s="591">
        <f>AE36+SUM(AA36:AA39)</f>
        <v>678929.75</v>
      </c>
      <c r="AG36" s="582">
        <f>AF36/SUM(X36:X39)</f>
        <v>773.26850797266513</v>
      </c>
      <c r="AH36" s="171">
        <v>12</v>
      </c>
      <c r="AI36" s="27">
        <v>12</v>
      </c>
      <c r="AJ36" s="27">
        <f t="shared" si="6"/>
        <v>0</v>
      </c>
      <c r="AK36" s="604">
        <v>345</v>
      </c>
    </row>
    <row r="37" spans="1:37">
      <c r="A37" s="579"/>
      <c r="B37" s="171" t="s">
        <v>95</v>
      </c>
      <c r="C37" s="168">
        <v>0</v>
      </c>
      <c r="D37" s="171">
        <v>2.48</v>
      </c>
      <c r="E37" s="168">
        <v>225</v>
      </c>
      <c r="F37" s="107">
        <f t="shared" si="1"/>
        <v>0</v>
      </c>
      <c r="G37" s="607"/>
      <c r="H37" s="549"/>
      <c r="I37" s="590"/>
      <c r="J37" s="590"/>
      <c r="K37" s="591"/>
      <c r="L37" s="582"/>
      <c r="M37" s="171">
        <v>6</v>
      </c>
      <c r="N37" s="27">
        <f t="shared" si="2"/>
        <v>0</v>
      </c>
      <c r="O37" s="27">
        <f t="shared" si="3"/>
        <v>6</v>
      </c>
      <c r="P37" s="604"/>
      <c r="S37" s="171">
        <v>192</v>
      </c>
      <c r="T37">
        <f t="shared" si="4"/>
        <v>192</v>
      </c>
      <c r="V37" s="579"/>
      <c r="W37" s="171" t="s">
        <v>95</v>
      </c>
      <c r="X37" s="168">
        <v>192</v>
      </c>
      <c r="Y37" s="171">
        <v>2.48</v>
      </c>
      <c r="Z37" s="168">
        <v>225</v>
      </c>
      <c r="AA37" s="107">
        <f t="shared" si="10"/>
        <v>107136</v>
      </c>
      <c r="AB37" s="607"/>
      <c r="AC37" s="590"/>
      <c r="AD37" s="590"/>
      <c r="AE37" s="590"/>
      <c r="AF37" s="591"/>
      <c r="AG37" s="582"/>
      <c r="AH37" s="171">
        <v>6</v>
      </c>
      <c r="AI37" s="27">
        <f t="shared" si="5"/>
        <v>6.4</v>
      </c>
      <c r="AJ37" s="27">
        <f t="shared" si="6"/>
        <v>-0.40000000000000036</v>
      </c>
      <c r="AK37" s="604"/>
    </row>
    <row r="38" spans="1:37">
      <c r="A38" s="579"/>
      <c r="B38" s="171" t="s">
        <v>96</v>
      </c>
      <c r="C38" s="168">
        <v>0</v>
      </c>
      <c r="D38" s="171">
        <v>2.35</v>
      </c>
      <c r="E38" s="168">
        <v>225</v>
      </c>
      <c r="F38" s="107">
        <f t="shared" si="1"/>
        <v>0</v>
      </c>
      <c r="G38" s="607"/>
      <c r="H38" s="549"/>
      <c r="I38" s="590"/>
      <c r="J38" s="590"/>
      <c r="K38" s="591"/>
      <c r="L38" s="582"/>
      <c r="M38" s="171">
        <v>6</v>
      </c>
      <c r="N38" s="27">
        <f t="shared" si="2"/>
        <v>0</v>
      </c>
      <c r="O38" s="27">
        <f t="shared" si="3"/>
        <v>6</v>
      </c>
      <c r="P38" s="604"/>
      <c r="S38" s="171">
        <v>195.5</v>
      </c>
      <c r="T38">
        <f t="shared" si="4"/>
        <v>195.5</v>
      </c>
      <c r="V38" s="579"/>
      <c r="W38" s="171" t="s">
        <v>96</v>
      </c>
      <c r="X38" s="168">
        <v>195.5</v>
      </c>
      <c r="Y38" s="171">
        <v>2.35</v>
      </c>
      <c r="Z38" s="168">
        <v>225</v>
      </c>
      <c r="AA38" s="107">
        <f t="shared" si="10"/>
        <v>103370.625</v>
      </c>
      <c r="AB38" s="607"/>
      <c r="AC38" s="590"/>
      <c r="AD38" s="590"/>
      <c r="AE38" s="590"/>
      <c r="AF38" s="591"/>
      <c r="AG38" s="582"/>
      <c r="AH38" s="171">
        <v>6</v>
      </c>
      <c r="AI38" s="27">
        <v>6</v>
      </c>
      <c r="AJ38" s="27">
        <f t="shared" si="6"/>
        <v>0</v>
      </c>
      <c r="AK38" s="604"/>
    </row>
    <row r="39" spans="1:37">
      <c r="A39" s="579"/>
      <c r="B39" s="171" t="s">
        <v>101</v>
      </c>
      <c r="C39" s="168">
        <v>0</v>
      </c>
      <c r="D39" s="171">
        <v>2.48</v>
      </c>
      <c r="E39" s="168">
        <v>225</v>
      </c>
      <c r="F39" s="107">
        <f t="shared" si="1"/>
        <v>0</v>
      </c>
      <c r="G39" s="607"/>
      <c r="H39" s="541"/>
      <c r="I39" s="590"/>
      <c r="J39" s="590"/>
      <c r="K39" s="591"/>
      <c r="L39" s="582"/>
      <c r="M39" s="171">
        <v>4</v>
      </c>
      <c r="N39" s="27">
        <f t="shared" si="2"/>
        <v>0</v>
      </c>
      <c r="O39" s="27">
        <f t="shared" si="3"/>
        <v>4</v>
      </c>
      <c r="P39" s="604"/>
      <c r="S39" s="171">
        <v>105</v>
      </c>
      <c r="T39">
        <f t="shared" si="4"/>
        <v>105</v>
      </c>
      <c r="V39" s="579"/>
      <c r="W39" s="171" t="s">
        <v>101</v>
      </c>
      <c r="X39" s="168">
        <v>105</v>
      </c>
      <c r="Y39" s="171">
        <v>2.48</v>
      </c>
      <c r="Z39" s="168">
        <v>225</v>
      </c>
      <c r="AA39" s="107">
        <f t="shared" si="10"/>
        <v>58589.999999999993</v>
      </c>
      <c r="AB39" s="607"/>
      <c r="AC39" s="590"/>
      <c r="AD39" s="590"/>
      <c r="AE39" s="590"/>
      <c r="AF39" s="591"/>
      <c r="AG39" s="582"/>
      <c r="AH39" s="171">
        <v>4</v>
      </c>
      <c r="AI39" s="27">
        <v>4</v>
      </c>
      <c r="AJ39" s="27">
        <f t="shared" si="6"/>
        <v>0</v>
      </c>
      <c r="AK39" s="604"/>
    </row>
    <row r="40" spans="1:37">
      <c r="A40" s="579" t="s">
        <v>238</v>
      </c>
      <c r="B40" s="171" t="s">
        <v>101</v>
      </c>
      <c r="C40" s="168">
        <v>600</v>
      </c>
      <c r="D40" s="171">
        <v>1.6</v>
      </c>
      <c r="E40" s="168">
        <v>225</v>
      </c>
      <c r="F40" s="107">
        <f t="shared" si="1"/>
        <v>216000</v>
      </c>
      <c r="G40" s="607">
        <v>1800</v>
      </c>
      <c r="H40" s="540">
        <v>3031</v>
      </c>
      <c r="I40" s="590">
        <v>515</v>
      </c>
      <c r="J40" s="590">
        <f>G40/H40*SUM(C40:C43)*515</f>
        <v>467934.67502474436</v>
      </c>
      <c r="K40" s="591">
        <f>J40+SUM(F40:F43)</f>
        <v>993624.67502474436</v>
      </c>
      <c r="L40" s="582">
        <f>K40/SUM(C40:C43)</f>
        <v>649.4278921730355</v>
      </c>
      <c r="M40" s="171">
        <v>39</v>
      </c>
      <c r="N40" s="27">
        <f t="shared" si="2"/>
        <v>20</v>
      </c>
      <c r="O40" s="27">
        <f t="shared" si="3"/>
        <v>19</v>
      </c>
      <c r="P40" s="604">
        <v>1800</v>
      </c>
      <c r="Q40">
        <f>J40+AE40</f>
        <v>927000</v>
      </c>
      <c r="R40">
        <v>600</v>
      </c>
      <c r="S40" s="171">
        <v>1170</v>
      </c>
      <c r="T40">
        <f t="shared" si="4"/>
        <v>570</v>
      </c>
      <c r="V40" s="579" t="s">
        <v>238</v>
      </c>
      <c r="W40" s="171" t="s">
        <v>101</v>
      </c>
      <c r="X40" s="168">
        <v>570</v>
      </c>
      <c r="Y40" s="171">
        <v>1.6</v>
      </c>
      <c r="Z40" s="168">
        <v>225</v>
      </c>
      <c r="AA40" s="107">
        <f t="shared" si="10"/>
        <v>205200</v>
      </c>
      <c r="AB40" s="607">
        <v>1800</v>
      </c>
      <c r="AC40" s="590">
        <v>3031</v>
      </c>
      <c r="AD40" s="590">
        <v>515</v>
      </c>
      <c r="AE40" s="590">
        <f>AB40/AC40*SUM(X40:X43)*AD3</f>
        <v>459065.3249752557</v>
      </c>
      <c r="AF40" s="591">
        <f>AE40+SUM(AA40:AA43)</f>
        <v>974288.32497525564</v>
      </c>
      <c r="AG40" s="582">
        <f>AF40/SUM(X40:X43)</f>
        <v>649.09282143587984</v>
      </c>
      <c r="AH40" s="171">
        <v>39</v>
      </c>
      <c r="AI40" s="27">
        <f t="shared" si="5"/>
        <v>19</v>
      </c>
      <c r="AJ40" s="27">
        <f t="shared" si="6"/>
        <v>20</v>
      </c>
      <c r="AK40" s="604">
        <v>1800</v>
      </c>
    </row>
    <row r="41" spans="1:37">
      <c r="A41" s="579"/>
      <c r="B41" s="171" t="s">
        <v>112</v>
      </c>
      <c r="C41" s="168">
        <v>390</v>
      </c>
      <c r="D41" s="171">
        <v>1.48</v>
      </c>
      <c r="E41" s="168">
        <v>225</v>
      </c>
      <c r="F41" s="107">
        <f t="shared" si="1"/>
        <v>129870.00000000001</v>
      </c>
      <c r="G41" s="607"/>
      <c r="H41" s="549"/>
      <c r="I41" s="590"/>
      <c r="J41" s="590"/>
      <c r="K41" s="591"/>
      <c r="L41" s="582"/>
      <c r="M41" s="171">
        <v>26</v>
      </c>
      <c r="N41" s="27">
        <f t="shared" si="2"/>
        <v>13</v>
      </c>
      <c r="O41" s="27">
        <f t="shared" si="3"/>
        <v>13</v>
      </c>
      <c r="P41" s="604"/>
      <c r="R41">
        <v>390</v>
      </c>
      <c r="S41" s="171">
        <v>785</v>
      </c>
      <c r="T41">
        <f t="shared" si="4"/>
        <v>395</v>
      </c>
      <c r="V41" s="579"/>
      <c r="W41" s="171" t="s">
        <v>112</v>
      </c>
      <c r="X41" s="168">
        <v>395</v>
      </c>
      <c r="Y41" s="171">
        <v>1.48</v>
      </c>
      <c r="Z41" s="168">
        <v>225</v>
      </c>
      <c r="AA41" s="107">
        <f t="shared" si="10"/>
        <v>131535</v>
      </c>
      <c r="AB41" s="607"/>
      <c r="AC41" s="590"/>
      <c r="AD41" s="590"/>
      <c r="AE41" s="590"/>
      <c r="AF41" s="591"/>
      <c r="AG41" s="582"/>
      <c r="AH41" s="171">
        <v>26</v>
      </c>
      <c r="AI41" s="27">
        <f t="shared" si="5"/>
        <v>13.166666666666666</v>
      </c>
      <c r="AJ41" s="27">
        <f t="shared" si="6"/>
        <v>12.833333333333334</v>
      </c>
      <c r="AK41" s="604"/>
    </row>
    <row r="42" spans="1:37">
      <c r="A42" s="579"/>
      <c r="B42" s="171" t="s">
        <v>95</v>
      </c>
      <c r="C42" s="168">
        <v>270</v>
      </c>
      <c r="D42" s="171">
        <v>1.48</v>
      </c>
      <c r="E42" s="168">
        <v>225</v>
      </c>
      <c r="F42" s="107">
        <f t="shared" si="1"/>
        <v>89910</v>
      </c>
      <c r="G42" s="607"/>
      <c r="H42" s="549"/>
      <c r="I42" s="590"/>
      <c r="J42" s="590"/>
      <c r="K42" s="591"/>
      <c r="L42" s="582"/>
      <c r="M42" s="171">
        <v>18</v>
      </c>
      <c r="N42" s="27">
        <f t="shared" si="2"/>
        <v>9</v>
      </c>
      <c r="O42" s="27">
        <f t="shared" si="3"/>
        <v>9</v>
      </c>
      <c r="P42" s="604"/>
      <c r="R42">
        <v>270</v>
      </c>
      <c r="S42" s="171">
        <v>536</v>
      </c>
      <c r="T42">
        <f t="shared" si="4"/>
        <v>266</v>
      </c>
      <c r="V42" s="579"/>
      <c r="W42" s="171" t="s">
        <v>95</v>
      </c>
      <c r="X42" s="168">
        <v>266</v>
      </c>
      <c r="Y42" s="171">
        <v>1.48</v>
      </c>
      <c r="Z42" s="168">
        <v>225</v>
      </c>
      <c r="AA42" s="107">
        <f t="shared" si="10"/>
        <v>88578</v>
      </c>
      <c r="AB42" s="607"/>
      <c r="AC42" s="590"/>
      <c r="AD42" s="590"/>
      <c r="AE42" s="590"/>
      <c r="AF42" s="591"/>
      <c r="AG42" s="582"/>
      <c r="AH42" s="171">
        <v>18</v>
      </c>
      <c r="AI42" s="27">
        <f t="shared" si="5"/>
        <v>8.8666666666666671</v>
      </c>
      <c r="AJ42" s="27">
        <f t="shared" si="6"/>
        <v>9.1333333333333329</v>
      </c>
      <c r="AK42" s="604"/>
    </row>
    <row r="43" spans="1:37">
      <c r="A43" s="579"/>
      <c r="B43" s="171" t="s">
        <v>114</v>
      </c>
      <c r="C43" s="168">
        <v>270</v>
      </c>
      <c r="D43" s="171">
        <v>1.48</v>
      </c>
      <c r="E43" s="168">
        <v>225</v>
      </c>
      <c r="F43" s="107">
        <f t="shared" si="1"/>
        <v>89910</v>
      </c>
      <c r="G43" s="607"/>
      <c r="H43" s="541"/>
      <c r="I43" s="590"/>
      <c r="J43" s="590"/>
      <c r="K43" s="591"/>
      <c r="L43" s="582"/>
      <c r="M43" s="171">
        <v>18</v>
      </c>
      <c r="N43" s="27">
        <f t="shared" si="2"/>
        <v>9</v>
      </c>
      <c r="O43" s="27">
        <f t="shared" si="3"/>
        <v>9</v>
      </c>
      <c r="P43" s="604"/>
      <c r="R43">
        <v>270</v>
      </c>
      <c r="S43" s="171">
        <v>540</v>
      </c>
      <c r="T43">
        <f t="shared" si="4"/>
        <v>270</v>
      </c>
      <c r="V43" s="579"/>
      <c r="W43" s="171" t="s">
        <v>114</v>
      </c>
      <c r="X43" s="168">
        <v>270</v>
      </c>
      <c r="Y43" s="171">
        <v>1.48</v>
      </c>
      <c r="Z43" s="168">
        <v>225</v>
      </c>
      <c r="AA43" s="107">
        <f t="shared" si="10"/>
        <v>89910</v>
      </c>
      <c r="AB43" s="607"/>
      <c r="AC43" s="590"/>
      <c r="AD43" s="590"/>
      <c r="AE43" s="590"/>
      <c r="AF43" s="591"/>
      <c r="AG43" s="582"/>
      <c r="AH43" s="171">
        <v>18</v>
      </c>
      <c r="AI43" s="27">
        <f t="shared" si="5"/>
        <v>9</v>
      </c>
      <c r="AJ43" s="27">
        <f t="shared" si="6"/>
        <v>9</v>
      </c>
      <c r="AK43" s="604"/>
    </row>
    <row r="44" spans="1:37">
      <c r="A44" s="165" t="s">
        <v>239</v>
      </c>
      <c r="B44" s="171" t="s">
        <v>96</v>
      </c>
      <c r="C44" s="168">
        <v>270</v>
      </c>
      <c r="D44" s="171">
        <v>1.48</v>
      </c>
      <c r="E44" s="168">
        <v>225</v>
      </c>
      <c r="F44" s="107">
        <f t="shared" si="1"/>
        <v>89910</v>
      </c>
      <c r="G44" s="181">
        <v>350</v>
      </c>
      <c r="H44" s="178">
        <v>552</v>
      </c>
      <c r="I44" s="168">
        <v>515</v>
      </c>
      <c r="J44" s="168">
        <f>G44/H44*SUM(C44:C44)*515</f>
        <v>88165.760869565231</v>
      </c>
      <c r="K44" s="169">
        <f>J44+F44</f>
        <v>178075.76086956525</v>
      </c>
      <c r="L44" s="166">
        <f>K44/C44</f>
        <v>659.53985507246387</v>
      </c>
      <c r="M44" s="171">
        <v>19</v>
      </c>
      <c r="N44" s="27">
        <f t="shared" si="2"/>
        <v>9</v>
      </c>
      <c r="O44" s="27">
        <f t="shared" si="3"/>
        <v>10</v>
      </c>
      <c r="P44" s="170">
        <v>335</v>
      </c>
      <c r="Q44">
        <f>J44+AE44</f>
        <v>180250</v>
      </c>
      <c r="R44">
        <v>270</v>
      </c>
      <c r="S44" s="171">
        <v>552</v>
      </c>
      <c r="T44">
        <f t="shared" si="4"/>
        <v>282</v>
      </c>
      <c r="V44" s="165" t="s">
        <v>239</v>
      </c>
      <c r="W44" s="171" t="s">
        <v>96</v>
      </c>
      <c r="X44" s="168">
        <v>282</v>
      </c>
      <c r="Y44" s="171">
        <v>1.48</v>
      </c>
      <c r="Z44" s="168">
        <v>225</v>
      </c>
      <c r="AA44" s="107">
        <f>X44*Y44*Z44</f>
        <v>93906</v>
      </c>
      <c r="AB44" s="181">
        <v>350</v>
      </c>
      <c r="AC44" s="168">
        <v>552</v>
      </c>
      <c r="AD44" s="168">
        <v>515</v>
      </c>
      <c r="AE44" s="168">
        <f>AB44/AC44*SUM(X44:X44)*AD3</f>
        <v>92084.239130434784</v>
      </c>
      <c r="AF44" s="169">
        <f>AE44+AA44</f>
        <v>185990.23913043478</v>
      </c>
      <c r="AG44" s="166">
        <f>AF44/X44</f>
        <v>659.53985507246375</v>
      </c>
      <c r="AH44" s="171">
        <v>19</v>
      </c>
      <c r="AI44" s="27">
        <v>10</v>
      </c>
      <c r="AJ44" s="27">
        <f t="shared" si="6"/>
        <v>9</v>
      </c>
      <c r="AK44" s="170">
        <v>335</v>
      </c>
    </row>
    <row r="45" spans="1:37">
      <c r="A45" s="579" t="s">
        <v>240</v>
      </c>
      <c r="B45" s="171" t="s">
        <v>101</v>
      </c>
      <c r="C45" s="168">
        <v>480</v>
      </c>
      <c r="D45" s="171">
        <v>1.22</v>
      </c>
      <c r="E45" s="168">
        <v>225</v>
      </c>
      <c r="F45" s="107">
        <f t="shared" si="1"/>
        <v>131760</v>
      </c>
      <c r="G45" s="607">
        <v>2660</v>
      </c>
      <c r="H45" s="540">
        <v>4944.5</v>
      </c>
      <c r="I45" s="590">
        <v>515</v>
      </c>
      <c r="J45" s="590">
        <f>G45/H45*SUM(C45:C49)*515</f>
        <v>648309.43472545256</v>
      </c>
      <c r="K45" s="591">
        <f>J45+SUM(F45:F49)</f>
        <v>1290639.4347254527</v>
      </c>
      <c r="L45" s="582">
        <f>K45/SUM(C45:C49)</f>
        <v>551.55531398523624</v>
      </c>
      <c r="M45" s="171">
        <v>36</v>
      </c>
      <c r="N45" s="27">
        <f t="shared" si="2"/>
        <v>16</v>
      </c>
      <c r="O45" s="27">
        <f t="shared" si="3"/>
        <v>20</v>
      </c>
      <c r="P45" s="604">
        <v>1980</v>
      </c>
      <c r="Q45">
        <f>J45+AE45</f>
        <v>1369900</v>
      </c>
      <c r="R45">
        <v>480</v>
      </c>
      <c r="S45" s="171">
        <v>1091.5</v>
      </c>
      <c r="T45">
        <f t="shared" si="4"/>
        <v>611.5</v>
      </c>
      <c r="V45" s="579" t="s">
        <v>240</v>
      </c>
      <c r="W45" s="171" t="s">
        <v>101</v>
      </c>
      <c r="X45" s="168">
        <v>611.5</v>
      </c>
      <c r="Y45" s="171">
        <v>1.22</v>
      </c>
      <c r="Z45" s="168">
        <v>225</v>
      </c>
      <c r="AA45" s="107">
        <f t="shared" si="10"/>
        <v>167856.75</v>
      </c>
      <c r="AB45" s="607">
        <v>2660</v>
      </c>
      <c r="AC45" s="590">
        <v>4944.5</v>
      </c>
      <c r="AD45" s="590">
        <v>515</v>
      </c>
      <c r="AE45" s="590">
        <f>AB45/AC45*SUM(X45:X49)*AD3</f>
        <v>721590.56527454744</v>
      </c>
      <c r="AF45" s="591">
        <f>AE45+SUM(AA45:AA49)</f>
        <v>1436525.8152745473</v>
      </c>
      <c r="AG45" s="582">
        <f>AF45/SUM(X45:X49)</f>
        <v>551.55531398523601</v>
      </c>
      <c r="AH45" s="171">
        <v>36</v>
      </c>
      <c r="AI45" s="27">
        <f t="shared" si="5"/>
        <v>20.383333333333333</v>
      </c>
      <c r="AJ45" s="27">
        <f t="shared" si="6"/>
        <v>15.616666666666667</v>
      </c>
      <c r="AK45" s="604">
        <v>1980</v>
      </c>
    </row>
    <row r="46" spans="1:37">
      <c r="A46" s="579"/>
      <c r="B46" s="171" t="s">
        <v>158</v>
      </c>
      <c r="C46" s="168">
        <v>720</v>
      </c>
      <c r="D46" s="171">
        <v>1.22</v>
      </c>
      <c r="E46" s="168">
        <v>225</v>
      </c>
      <c r="F46" s="107">
        <f t="shared" si="1"/>
        <v>197640</v>
      </c>
      <c r="G46" s="607"/>
      <c r="H46" s="549"/>
      <c r="I46" s="590"/>
      <c r="J46" s="590"/>
      <c r="K46" s="591"/>
      <c r="L46" s="582"/>
      <c r="M46" s="171">
        <v>51</v>
      </c>
      <c r="N46" s="27">
        <f t="shared" si="2"/>
        <v>24</v>
      </c>
      <c r="O46" s="27">
        <f t="shared" si="3"/>
        <v>27</v>
      </c>
      <c r="P46" s="604"/>
      <c r="R46">
        <v>720</v>
      </c>
      <c r="S46" s="171">
        <v>1530</v>
      </c>
      <c r="T46">
        <f t="shared" si="4"/>
        <v>810</v>
      </c>
      <c r="V46" s="579"/>
      <c r="W46" s="171" t="s">
        <v>158</v>
      </c>
      <c r="X46" s="168">
        <v>810</v>
      </c>
      <c r="Y46" s="171">
        <v>1.22</v>
      </c>
      <c r="Z46" s="168">
        <v>225</v>
      </c>
      <c r="AA46" s="107">
        <f t="shared" si="10"/>
        <v>222344.99999999997</v>
      </c>
      <c r="AB46" s="607"/>
      <c r="AC46" s="590"/>
      <c r="AD46" s="590"/>
      <c r="AE46" s="590"/>
      <c r="AF46" s="591"/>
      <c r="AG46" s="582"/>
      <c r="AH46" s="171">
        <v>51</v>
      </c>
      <c r="AI46" s="27">
        <f t="shared" si="5"/>
        <v>27</v>
      </c>
      <c r="AJ46" s="27">
        <f t="shared" si="6"/>
        <v>24</v>
      </c>
      <c r="AK46" s="604"/>
    </row>
    <row r="47" spans="1:37">
      <c r="A47" s="579"/>
      <c r="B47" s="171" t="s">
        <v>95</v>
      </c>
      <c r="C47" s="168">
        <v>360</v>
      </c>
      <c r="D47" s="171">
        <v>1.22</v>
      </c>
      <c r="E47" s="168">
        <v>225</v>
      </c>
      <c r="F47" s="107">
        <f t="shared" si="1"/>
        <v>98820</v>
      </c>
      <c r="G47" s="607"/>
      <c r="H47" s="549"/>
      <c r="I47" s="590"/>
      <c r="J47" s="590"/>
      <c r="K47" s="591"/>
      <c r="L47" s="582"/>
      <c r="M47" s="171">
        <v>25</v>
      </c>
      <c r="N47" s="27">
        <f t="shared" si="2"/>
        <v>12</v>
      </c>
      <c r="O47" s="27">
        <f t="shared" si="3"/>
        <v>13</v>
      </c>
      <c r="P47" s="604"/>
      <c r="R47">
        <v>360</v>
      </c>
      <c r="S47" s="171">
        <v>760.5</v>
      </c>
      <c r="T47">
        <f t="shared" si="4"/>
        <v>400.5</v>
      </c>
      <c r="V47" s="579"/>
      <c r="W47" s="171" t="s">
        <v>95</v>
      </c>
      <c r="X47" s="168">
        <v>400.5</v>
      </c>
      <c r="Y47" s="171">
        <v>1.22</v>
      </c>
      <c r="Z47" s="168">
        <v>225</v>
      </c>
      <c r="AA47" s="107">
        <f t="shared" si="10"/>
        <v>109937.25</v>
      </c>
      <c r="AB47" s="607"/>
      <c r="AC47" s="590"/>
      <c r="AD47" s="590"/>
      <c r="AE47" s="590"/>
      <c r="AF47" s="591"/>
      <c r="AG47" s="582"/>
      <c r="AH47" s="171">
        <v>25</v>
      </c>
      <c r="AI47" s="27">
        <f t="shared" si="5"/>
        <v>13.35</v>
      </c>
      <c r="AJ47" s="27">
        <f t="shared" si="6"/>
        <v>11.65</v>
      </c>
      <c r="AK47" s="604"/>
    </row>
    <row r="48" spans="1:37">
      <c r="A48" s="579"/>
      <c r="B48" s="171" t="s">
        <v>190</v>
      </c>
      <c r="C48" s="168">
        <v>390</v>
      </c>
      <c r="D48" s="171">
        <v>1.22</v>
      </c>
      <c r="E48" s="168">
        <v>225</v>
      </c>
      <c r="F48" s="107">
        <f t="shared" si="1"/>
        <v>107055</v>
      </c>
      <c r="G48" s="607"/>
      <c r="H48" s="549"/>
      <c r="I48" s="590"/>
      <c r="J48" s="590"/>
      <c r="K48" s="591"/>
      <c r="L48" s="582"/>
      <c r="M48" s="171">
        <v>26</v>
      </c>
      <c r="N48" s="27">
        <f t="shared" si="2"/>
        <v>13</v>
      </c>
      <c r="O48" s="27">
        <f t="shared" si="3"/>
        <v>13</v>
      </c>
      <c r="P48" s="604"/>
      <c r="R48">
        <v>390</v>
      </c>
      <c r="S48" s="171">
        <v>790</v>
      </c>
      <c r="T48">
        <f t="shared" si="4"/>
        <v>400</v>
      </c>
      <c r="V48" s="579"/>
      <c r="W48" s="171" t="s">
        <v>190</v>
      </c>
      <c r="X48" s="168">
        <v>400</v>
      </c>
      <c r="Y48" s="171">
        <v>1.22</v>
      </c>
      <c r="Z48" s="168">
        <v>225</v>
      </c>
      <c r="AA48" s="107">
        <f t="shared" si="10"/>
        <v>109800</v>
      </c>
      <c r="AB48" s="607"/>
      <c r="AC48" s="590"/>
      <c r="AD48" s="590"/>
      <c r="AE48" s="590"/>
      <c r="AF48" s="591"/>
      <c r="AG48" s="582"/>
      <c r="AH48" s="171">
        <v>26</v>
      </c>
      <c r="AI48" s="27">
        <f t="shared" si="5"/>
        <v>13.333333333333334</v>
      </c>
      <c r="AJ48" s="27">
        <f t="shared" si="6"/>
        <v>12.666666666666666</v>
      </c>
      <c r="AK48" s="604"/>
    </row>
    <row r="49" spans="1:37">
      <c r="A49" s="579"/>
      <c r="B49" s="171" t="s">
        <v>244</v>
      </c>
      <c r="C49" s="168">
        <v>390</v>
      </c>
      <c r="D49" s="171">
        <v>1.22</v>
      </c>
      <c r="E49" s="168">
        <v>225</v>
      </c>
      <c r="F49" s="107">
        <f t="shared" si="1"/>
        <v>107055</v>
      </c>
      <c r="G49" s="607"/>
      <c r="H49" s="541"/>
      <c r="I49" s="590"/>
      <c r="J49" s="590"/>
      <c r="K49" s="591"/>
      <c r="L49" s="582"/>
      <c r="M49" s="171">
        <v>26</v>
      </c>
      <c r="N49" s="27">
        <f t="shared" si="2"/>
        <v>13</v>
      </c>
      <c r="O49" s="27">
        <f t="shared" si="3"/>
        <v>13</v>
      </c>
      <c r="P49" s="604"/>
      <c r="R49">
        <v>390</v>
      </c>
      <c r="S49" s="171">
        <v>772.5</v>
      </c>
      <c r="T49">
        <f t="shared" si="4"/>
        <v>382.5</v>
      </c>
      <c r="V49" s="579"/>
      <c r="W49" s="171" t="s">
        <v>244</v>
      </c>
      <c r="X49" s="168">
        <v>382.5</v>
      </c>
      <c r="Y49" s="171">
        <v>1.22</v>
      </c>
      <c r="Z49" s="168">
        <v>225</v>
      </c>
      <c r="AA49" s="107">
        <f t="shared" si="10"/>
        <v>104996.25</v>
      </c>
      <c r="AB49" s="607"/>
      <c r="AC49" s="590"/>
      <c r="AD49" s="590"/>
      <c r="AE49" s="590"/>
      <c r="AF49" s="591"/>
      <c r="AG49" s="582"/>
      <c r="AH49" s="171">
        <v>26</v>
      </c>
      <c r="AI49" s="27">
        <f t="shared" si="5"/>
        <v>12.75</v>
      </c>
      <c r="AJ49" s="27">
        <f t="shared" si="6"/>
        <v>13.25</v>
      </c>
      <c r="AK49" s="604"/>
    </row>
    <row r="50" spans="1:37">
      <c r="A50" s="579">
        <v>192</v>
      </c>
      <c r="B50" s="171" t="s">
        <v>101</v>
      </c>
      <c r="C50" s="168">
        <v>300</v>
      </c>
      <c r="D50" s="171">
        <v>1.3</v>
      </c>
      <c r="E50" s="168">
        <v>225</v>
      </c>
      <c r="F50" s="107">
        <f t="shared" si="1"/>
        <v>87750</v>
      </c>
      <c r="G50" s="607">
        <v>1300</v>
      </c>
      <c r="H50" s="540">
        <v>2640</v>
      </c>
      <c r="I50" s="590">
        <v>515</v>
      </c>
      <c r="J50" s="590">
        <f>G50/H50*SUM(C50:C51)*515</f>
        <v>228238.63636363635</v>
      </c>
      <c r="K50" s="591">
        <f>J50+SUM(F50:F51)</f>
        <v>518488.63636363635</v>
      </c>
      <c r="L50" s="582">
        <f>K50/SUM(C50:C51)</f>
        <v>576.09848484848487</v>
      </c>
      <c r="M50" s="171">
        <v>33</v>
      </c>
      <c r="N50" s="27">
        <v>10</v>
      </c>
      <c r="O50" s="27">
        <f t="shared" si="3"/>
        <v>23</v>
      </c>
      <c r="P50" s="604">
        <v>1100</v>
      </c>
      <c r="Q50">
        <f>J50+AE50</f>
        <v>669500</v>
      </c>
      <c r="R50">
        <v>300</v>
      </c>
      <c r="S50" s="171">
        <v>996</v>
      </c>
      <c r="T50">
        <f t="shared" si="4"/>
        <v>696</v>
      </c>
      <c r="V50" s="579">
        <v>192</v>
      </c>
      <c r="W50" s="171" t="s">
        <v>101</v>
      </c>
      <c r="X50" s="168">
        <v>696</v>
      </c>
      <c r="Y50" s="171">
        <v>1.3</v>
      </c>
      <c r="Z50" s="168">
        <v>225</v>
      </c>
      <c r="AA50" s="107">
        <f t="shared" si="10"/>
        <v>203580.00000000003</v>
      </c>
      <c r="AB50" s="607">
        <v>1300</v>
      </c>
      <c r="AC50" s="590">
        <v>2640</v>
      </c>
      <c r="AD50" s="590">
        <v>515</v>
      </c>
      <c r="AE50" s="590">
        <f>AB50/AC50*SUM(X50:X51)*AD3</f>
        <v>441261.36363636365</v>
      </c>
      <c r="AF50" s="591">
        <f>AE50+SUM(AA50:AA51)</f>
        <v>997191.36363636365</v>
      </c>
      <c r="AG50" s="582">
        <f>AF50/SUM(X50:X51)</f>
        <v>573.09848484848487</v>
      </c>
      <c r="AH50" s="171">
        <v>33</v>
      </c>
      <c r="AI50" s="27">
        <f t="shared" si="5"/>
        <v>23.2</v>
      </c>
      <c r="AJ50" s="27">
        <f t="shared" si="6"/>
        <v>9.8000000000000007</v>
      </c>
      <c r="AK50" s="604">
        <v>1100</v>
      </c>
    </row>
    <row r="51" spans="1:37">
      <c r="A51" s="579"/>
      <c r="B51" s="171" t="s">
        <v>98</v>
      </c>
      <c r="C51" s="168">
        <v>600</v>
      </c>
      <c r="D51" s="171">
        <v>1.5</v>
      </c>
      <c r="E51" s="168">
        <v>225</v>
      </c>
      <c r="F51" s="107">
        <f t="shared" si="1"/>
        <v>202500</v>
      </c>
      <c r="G51" s="607"/>
      <c r="H51" s="541"/>
      <c r="I51" s="590"/>
      <c r="J51" s="590"/>
      <c r="K51" s="608"/>
      <c r="L51" s="582"/>
      <c r="M51" s="171">
        <v>55</v>
      </c>
      <c r="N51" s="27">
        <v>20</v>
      </c>
      <c r="O51" s="27">
        <f t="shared" si="3"/>
        <v>35</v>
      </c>
      <c r="P51" s="604"/>
      <c r="R51">
        <v>600</v>
      </c>
      <c r="S51" s="171">
        <v>1644</v>
      </c>
      <c r="T51">
        <f t="shared" si="4"/>
        <v>1044</v>
      </c>
      <c r="V51" s="579"/>
      <c r="W51" s="171" t="s">
        <v>98</v>
      </c>
      <c r="X51" s="168">
        <v>1044</v>
      </c>
      <c r="Y51" s="171">
        <v>1.5</v>
      </c>
      <c r="Z51" s="168">
        <v>225</v>
      </c>
      <c r="AA51" s="107">
        <f t="shared" si="10"/>
        <v>352350</v>
      </c>
      <c r="AB51" s="607"/>
      <c r="AC51" s="590"/>
      <c r="AD51" s="590"/>
      <c r="AE51" s="590"/>
      <c r="AF51" s="608"/>
      <c r="AG51" s="582"/>
      <c r="AH51" s="171">
        <v>55</v>
      </c>
      <c r="AI51" s="27">
        <f t="shared" si="5"/>
        <v>34.799999999999997</v>
      </c>
      <c r="AJ51" s="27">
        <f t="shared" si="6"/>
        <v>20.200000000000003</v>
      </c>
      <c r="AK51" s="604"/>
    </row>
    <row r="52" spans="1:37" ht="25.5">
      <c r="A52" s="165" t="s">
        <v>248</v>
      </c>
      <c r="B52" s="171" t="s">
        <v>96</v>
      </c>
      <c r="C52" s="168">
        <v>330</v>
      </c>
      <c r="D52" s="171">
        <v>2.9</v>
      </c>
      <c r="E52" s="168">
        <v>225</v>
      </c>
      <c r="F52" s="107">
        <f>C52*D52*E52</f>
        <v>215325</v>
      </c>
      <c r="G52" s="181">
        <v>825</v>
      </c>
      <c r="H52" s="178">
        <v>628</v>
      </c>
      <c r="I52" s="168">
        <v>515</v>
      </c>
      <c r="J52" s="168">
        <f>G52/H52*SUM(C52:C52)*515</f>
        <v>223262.34076433122</v>
      </c>
      <c r="K52" s="169">
        <f>J52+F52</f>
        <v>438587.34076433122</v>
      </c>
      <c r="L52" s="166">
        <f>K52/C52</f>
        <v>1329.0525477707006</v>
      </c>
      <c r="M52" s="171">
        <v>21</v>
      </c>
      <c r="N52" s="27">
        <f t="shared" si="2"/>
        <v>11</v>
      </c>
      <c r="O52" s="27">
        <f t="shared" si="3"/>
        <v>10</v>
      </c>
      <c r="P52" s="170">
        <v>660</v>
      </c>
      <c r="Q52">
        <f>J52+AE52</f>
        <v>424875</v>
      </c>
      <c r="R52">
        <v>330</v>
      </c>
      <c r="S52" s="171">
        <v>628</v>
      </c>
      <c r="T52">
        <f t="shared" si="4"/>
        <v>298</v>
      </c>
      <c r="V52" s="165" t="s">
        <v>248</v>
      </c>
      <c r="W52" s="171" t="s">
        <v>96</v>
      </c>
      <c r="X52" s="168">
        <v>298</v>
      </c>
      <c r="Y52" s="171">
        <v>2.9</v>
      </c>
      <c r="Z52" s="168">
        <v>225</v>
      </c>
      <c r="AA52" s="107">
        <f>X52*Y52*Z52</f>
        <v>194444.99999999997</v>
      </c>
      <c r="AB52" s="181">
        <v>825</v>
      </c>
      <c r="AC52" s="168">
        <v>628</v>
      </c>
      <c r="AD52" s="168">
        <v>515</v>
      </c>
      <c r="AE52" s="168">
        <f>AB52/AC52*SUM(X52:X52)*AD3</f>
        <v>201612.65923566878</v>
      </c>
      <c r="AF52" s="169">
        <f>AE52+AA52</f>
        <v>396057.65923566872</v>
      </c>
      <c r="AG52" s="166">
        <f>AF52/X52</f>
        <v>1329.0525477707004</v>
      </c>
      <c r="AH52" s="171">
        <v>21</v>
      </c>
      <c r="AI52" s="27">
        <f t="shared" si="5"/>
        <v>9.9333333333333336</v>
      </c>
      <c r="AJ52" s="27">
        <f t="shared" si="6"/>
        <v>11.066666666666666</v>
      </c>
      <c r="AK52" s="170">
        <v>660</v>
      </c>
    </row>
    <row r="53" spans="1:37" ht="38.25">
      <c r="A53" s="165" t="s">
        <v>187</v>
      </c>
      <c r="B53" s="171" t="s">
        <v>247</v>
      </c>
      <c r="C53" s="168">
        <v>1050</v>
      </c>
      <c r="D53" s="171">
        <v>1.98</v>
      </c>
      <c r="E53" s="168">
        <v>225</v>
      </c>
      <c r="F53" s="107">
        <f>C53*D53*E53</f>
        <v>467775</v>
      </c>
      <c r="G53" s="181">
        <v>1440</v>
      </c>
      <c r="H53" s="178">
        <v>2070</v>
      </c>
      <c r="I53" s="168">
        <v>515</v>
      </c>
      <c r="J53" s="168">
        <f>G53/H53*SUM(C53:C53)*515</f>
        <v>376173.91304347827</v>
      </c>
      <c r="K53" s="169">
        <f>J53+F53</f>
        <v>843948.91304347827</v>
      </c>
      <c r="L53" s="166">
        <f>K53/C53</f>
        <v>803.76086956521738</v>
      </c>
      <c r="M53" s="171">
        <v>69</v>
      </c>
      <c r="N53" s="27">
        <f t="shared" si="2"/>
        <v>35</v>
      </c>
      <c r="O53" s="27">
        <f t="shared" si="3"/>
        <v>34</v>
      </c>
      <c r="P53" s="170">
        <v>2196</v>
      </c>
      <c r="Q53">
        <f>J53+AE53</f>
        <v>741600</v>
      </c>
      <c r="R53">
        <v>1050</v>
      </c>
      <c r="S53" s="171">
        <v>2070</v>
      </c>
      <c r="T53">
        <f t="shared" si="4"/>
        <v>1020</v>
      </c>
      <c r="V53" s="165" t="s">
        <v>187</v>
      </c>
      <c r="W53" s="171" t="s">
        <v>247</v>
      </c>
      <c r="X53" s="168">
        <v>1020</v>
      </c>
      <c r="Y53" s="171">
        <v>1.98</v>
      </c>
      <c r="Z53" s="168">
        <v>225</v>
      </c>
      <c r="AA53" s="107">
        <f>X53*Y53*Z53</f>
        <v>454410</v>
      </c>
      <c r="AB53" s="181">
        <v>1440</v>
      </c>
      <c r="AC53" s="168">
        <v>2070</v>
      </c>
      <c r="AD53" s="168">
        <v>515</v>
      </c>
      <c r="AE53" s="168">
        <f>AB53/AC53*SUM(X53:X53)*AD3</f>
        <v>365426.08695652173</v>
      </c>
      <c r="AF53" s="169">
        <f>AE53+AA53</f>
        <v>819836.08695652173</v>
      </c>
      <c r="AG53" s="166">
        <f>AF53/X53</f>
        <v>803.76086956521738</v>
      </c>
      <c r="AH53" s="171">
        <v>69</v>
      </c>
      <c r="AI53" s="27">
        <f t="shared" si="5"/>
        <v>34</v>
      </c>
      <c r="AJ53" s="27">
        <f t="shared" si="6"/>
        <v>35</v>
      </c>
      <c r="AK53" s="170">
        <v>2196</v>
      </c>
    </row>
    <row r="54" spans="1:37" ht="15.75">
      <c r="A54" s="165" t="s">
        <v>4</v>
      </c>
      <c r="B54" s="23"/>
      <c r="C54" s="160">
        <f>SUM(C3:C53)</f>
        <v>23747</v>
      </c>
      <c r="D54" s="5"/>
      <c r="E54" s="5"/>
      <c r="F54" s="161">
        <f>SUM(F3:F53)</f>
        <v>6304623.75</v>
      </c>
      <c r="G54" s="5">
        <f>SUM(G3:G53)</f>
        <v>20167</v>
      </c>
      <c r="H54" s="5">
        <f>SUM(H3:H53)</f>
        <v>50979.5</v>
      </c>
      <c r="I54" s="88"/>
      <c r="J54" s="161">
        <f>SUM(J3:J53)</f>
        <v>4828631.0825007064</v>
      </c>
      <c r="K54" s="161">
        <f>SUM(K3:K53)</f>
        <v>11133254.832500705</v>
      </c>
      <c r="L54" s="163"/>
      <c r="M54" s="162">
        <f t="shared" ref="M54:T54" si="11">SUM(M3:M53)</f>
        <v>1521</v>
      </c>
      <c r="N54" s="7">
        <f t="shared" si="11"/>
        <v>698</v>
      </c>
      <c r="O54" s="7">
        <f t="shared" si="11"/>
        <v>823</v>
      </c>
      <c r="P54" s="1">
        <f t="shared" si="11"/>
        <v>19893</v>
      </c>
      <c r="Q54" s="39">
        <f t="shared" si="11"/>
        <v>10386005</v>
      </c>
      <c r="R54">
        <f t="shared" si="11"/>
        <v>23747</v>
      </c>
      <c r="S54">
        <f t="shared" si="11"/>
        <v>50979.5</v>
      </c>
      <c r="T54">
        <f t="shared" si="11"/>
        <v>27232.5</v>
      </c>
      <c r="V54" s="165" t="s">
        <v>4</v>
      </c>
      <c r="W54" s="23"/>
      <c r="X54" s="160">
        <f>SUM(X3:X53)</f>
        <v>27232.5</v>
      </c>
      <c r="Y54" s="5"/>
      <c r="Z54" s="5"/>
      <c r="AA54" s="161">
        <f>SUM(AA3:AA53)</f>
        <v>7498185.75</v>
      </c>
      <c r="AB54" s="5">
        <f>SUM(AB3:AB53)</f>
        <v>20167</v>
      </c>
      <c r="AC54" s="5">
        <f>SUM(AC3:AC53)</f>
        <v>50979.5</v>
      </c>
      <c r="AD54" s="88"/>
      <c r="AE54" s="161">
        <f>SUM(AE3:AE53)</f>
        <v>5557373.9174992936</v>
      </c>
      <c r="AF54" s="161">
        <f>SUM(AF3:AF53)</f>
        <v>13055559.667499296</v>
      </c>
      <c r="AG54" s="163"/>
      <c r="AH54" s="162">
        <f>SUM(AH3:AH53)</f>
        <v>1521</v>
      </c>
      <c r="AI54" s="7">
        <f>SUM(AI3:AI53)</f>
        <v>822.99</v>
      </c>
      <c r="AJ54" s="7">
        <f>SUM(AJ3:AJ53)</f>
        <v>698.01</v>
      </c>
      <c r="AK54" s="1">
        <f>SUM(AK3:AK53)</f>
        <v>19893</v>
      </c>
    </row>
    <row r="55" spans="1:37">
      <c r="J55" s="39">
        <f>J56-J54</f>
        <v>9322.6191833037883</v>
      </c>
      <c r="AE55">
        <f>AB54/AC54*X54*515</f>
        <v>5548051.2983159898</v>
      </c>
    </row>
    <row r="56" spans="1:37">
      <c r="J56">
        <f>G54/H54*C54*515</f>
        <v>4837953.7016840102</v>
      </c>
      <c r="AE56" s="39">
        <f>AE55-AE54</f>
        <v>-9322.6191833037883</v>
      </c>
    </row>
    <row r="57" spans="1:37">
      <c r="X57" s="179"/>
      <c r="Z57" s="179"/>
    </row>
    <row r="58" spans="1:37" ht="21">
      <c r="A58" s="612" t="s">
        <v>215</v>
      </c>
      <c r="B58" s="612"/>
      <c r="C58" s="612"/>
      <c r="D58" s="612"/>
      <c r="E58" s="612"/>
      <c r="K58" s="39"/>
      <c r="L58" s="607"/>
      <c r="P58" s="39"/>
      <c r="AA58" s="39"/>
      <c r="AC58" s="39"/>
    </row>
    <row r="59" spans="1:37" ht="31.5">
      <c r="A59" s="100" t="s">
        <v>0</v>
      </c>
      <c r="B59" s="101" t="s">
        <v>252</v>
      </c>
      <c r="C59" s="105" t="s">
        <v>125</v>
      </c>
      <c r="D59" s="105" t="s">
        <v>124</v>
      </c>
      <c r="E59" s="105" t="s">
        <v>126</v>
      </c>
      <c r="J59" s="594"/>
      <c r="K59" s="39"/>
      <c r="L59" s="607"/>
      <c r="P59" s="39"/>
      <c r="AA59" s="39"/>
      <c r="AF59" s="39"/>
    </row>
    <row r="60" spans="1:37" ht="15.75">
      <c r="A60" s="611" t="s">
        <v>115</v>
      </c>
      <c r="B60" s="173" t="s">
        <v>96</v>
      </c>
      <c r="C60" s="174">
        <v>24</v>
      </c>
      <c r="D60" s="101">
        <v>10</v>
      </c>
      <c r="E60" s="176">
        <f>C60-D60</f>
        <v>14</v>
      </c>
      <c r="J60" s="609"/>
      <c r="L60" s="607"/>
      <c r="AF60" s="39">
        <f>AE54+J54</f>
        <v>10386005</v>
      </c>
    </row>
    <row r="61" spans="1:37" ht="15.75">
      <c r="A61" s="611"/>
      <c r="B61" s="173" t="s">
        <v>95</v>
      </c>
      <c r="C61" s="174">
        <v>34</v>
      </c>
      <c r="D61" s="101">
        <v>14</v>
      </c>
      <c r="E61" s="176">
        <f t="shared" ref="E61:E110" si="12">C61-D61</f>
        <v>20</v>
      </c>
      <c r="J61" s="609"/>
      <c r="L61" s="607"/>
      <c r="O61" s="39"/>
      <c r="AA61" s="39"/>
      <c r="AE61">
        <f>AB54*515</f>
        <v>10386005</v>
      </c>
      <c r="AF61" s="39"/>
    </row>
    <row r="62" spans="1:37" ht="15.75">
      <c r="A62" s="611"/>
      <c r="B62" s="173" t="s">
        <v>103</v>
      </c>
      <c r="C62" s="174">
        <v>17</v>
      </c>
      <c r="D62" s="101">
        <v>7</v>
      </c>
      <c r="E62" s="176">
        <f t="shared" si="12"/>
        <v>10</v>
      </c>
      <c r="J62" s="595"/>
      <c r="L62" s="607"/>
    </row>
    <row r="63" spans="1:37" ht="15.75">
      <c r="A63" s="611"/>
      <c r="B63" s="173" t="s">
        <v>98</v>
      </c>
      <c r="C63" s="174">
        <v>48</v>
      </c>
      <c r="D63" s="101">
        <v>18</v>
      </c>
      <c r="E63" s="176">
        <f t="shared" si="12"/>
        <v>30</v>
      </c>
      <c r="J63" s="594"/>
      <c r="L63" s="607"/>
    </row>
    <row r="64" spans="1:37" ht="15.75">
      <c r="A64" s="611" t="s">
        <v>192</v>
      </c>
      <c r="B64" s="173" t="s">
        <v>94</v>
      </c>
      <c r="C64" s="174">
        <v>24</v>
      </c>
      <c r="D64" s="101">
        <v>9</v>
      </c>
      <c r="E64" s="176">
        <f t="shared" si="12"/>
        <v>15</v>
      </c>
      <c r="J64" s="595"/>
      <c r="L64" s="607"/>
    </row>
    <row r="65" spans="1:12" ht="15.75">
      <c r="A65" s="611"/>
      <c r="B65" s="173" t="s">
        <v>97</v>
      </c>
      <c r="C65" s="174">
        <v>31</v>
      </c>
      <c r="D65" s="101">
        <v>11</v>
      </c>
      <c r="E65" s="176">
        <f t="shared" si="12"/>
        <v>20</v>
      </c>
      <c r="J65" s="594"/>
      <c r="L65" s="607"/>
    </row>
    <row r="66" spans="1:12" ht="15.75">
      <c r="A66" s="611" t="s">
        <v>46</v>
      </c>
      <c r="B66" s="173" t="s">
        <v>100</v>
      </c>
      <c r="C66" s="174">
        <v>37</v>
      </c>
      <c r="D66" s="101">
        <v>19</v>
      </c>
      <c r="E66" s="176">
        <f t="shared" si="12"/>
        <v>18</v>
      </c>
      <c r="J66" s="609"/>
      <c r="L66" s="607"/>
    </row>
    <row r="67" spans="1:12" ht="15.75">
      <c r="A67" s="611"/>
      <c r="B67" s="173" t="s">
        <v>241</v>
      </c>
      <c r="C67" s="174">
        <v>37</v>
      </c>
      <c r="D67" s="101">
        <v>19</v>
      </c>
      <c r="E67" s="176">
        <f t="shared" si="12"/>
        <v>18</v>
      </c>
      <c r="J67" s="609"/>
      <c r="L67" s="607"/>
    </row>
    <row r="68" spans="1:12" ht="15.75">
      <c r="A68" s="611"/>
      <c r="B68" s="173" t="s">
        <v>150</v>
      </c>
      <c r="C68" s="174">
        <v>39</v>
      </c>
      <c r="D68" s="101">
        <v>20</v>
      </c>
      <c r="E68" s="176">
        <f t="shared" si="12"/>
        <v>19</v>
      </c>
      <c r="J68" s="609"/>
      <c r="L68" s="607"/>
    </row>
    <row r="69" spans="1:12" ht="15.75">
      <c r="A69" s="611"/>
      <c r="B69" s="173" t="s">
        <v>94</v>
      </c>
      <c r="C69" s="174">
        <v>37</v>
      </c>
      <c r="D69" s="101">
        <v>19</v>
      </c>
      <c r="E69" s="176">
        <f t="shared" si="12"/>
        <v>18</v>
      </c>
      <c r="J69" s="595"/>
      <c r="L69" s="607"/>
    </row>
    <row r="70" spans="1:12" ht="15.75">
      <c r="A70" s="611"/>
      <c r="B70" s="173" t="s">
        <v>96</v>
      </c>
      <c r="C70" s="174">
        <v>19</v>
      </c>
      <c r="D70" s="101">
        <v>10</v>
      </c>
      <c r="E70" s="176">
        <f t="shared" si="12"/>
        <v>9</v>
      </c>
      <c r="J70" s="594"/>
      <c r="L70" s="607"/>
    </row>
    <row r="71" spans="1:12" ht="15.75">
      <c r="A71" s="611" t="s">
        <v>235</v>
      </c>
      <c r="B71" s="173" t="s">
        <v>95</v>
      </c>
      <c r="C71" s="174">
        <v>21</v>
      </c>
      <c r="D71" s="101">
        <v>11</v>
      </c>
      <c r="E71" s="176">
        <f t="shared" si="12"/>
        <v>10</v>
      </c>
      <c r="J71" s="609"/>
      <c r="L71" s="607"/>
    </row>
    <row r="72" spans="1:12" ht="15.75">
      <c r="A72" s="611"/>
      <c r="B72" s="173" t="s">
        <v>102</v>
      </c>
      <c r="C72" s="174">
        <v>20</v>
      </c>
      <c r="D72" s="101">
        <v>10</v>
      </c>
      <c r="E72" s="176">
        <f t="shared" si="12"/>
        <v>10</v>
      </c>
      <c r="J72" s="609"/>
      <c r="L72" s="607"/>
    </row>
    <row r="73" spans="1:12" ht="15.75">
      <c r="A73" s="611"/>
      <c r="B73" s="173" t="s">
        <v>150</v>
      </c>
      <c r="C73" s="174">
        <v>21</v>
      </c>
      <c r="D73" s="101">
        <v>11</v>
      </c>
      <c r="E73" s="176">
        <f t="shared" si="12"/>
        <v>10</v>
      </c>
      <c r="J73" s="609"/>
      <c r="L73" s="607"/>
    </row>
    <row r="74" spans="1:12" ht="15.75">
      <c r="A74" s="611"/>
      <c r="B74" s="173" t="s">
        <v>242</v>
      </c>
      <c r="C74" s="174">
        <v>12</v>
      </c>
      <c r="D74" s="101">
        <v>6</v>
      </c>
      <c r="E74" s="176">
        <f t="shared" si="12"/>
        <v>6</v>
      </c>
      <c r="J74" s="609"/>
      <c r="L74" s="607"/>
    </row>
    <row r="75" spans="1:12" ht="15.75">
      <c r="A75" s="611"/>
      <c r="B75" s="173" t="s">
        <v>101</v>
      </c>
      <c r="C75" s="174">
        <v>12</v>
      </c>
      <c r="D75" s="101">
        <v>6</v>
      </c>
      <c r="E75" s="176">
        <f t="shared" si="12"/>
        <v>6</v>
      </c>
      <c r="J75" s="595"/>
      <c r="L75" s="607"/>
    </row>
    <row r="76" spans="1:12" ht="15.75">
      <c r="A76" s="611"/>
      <c r="B76" s="173" t="s">
        <v>110</v>
      </c>
      <c r="C76" s="174">
        <v>11</v>
      </c>
      <c r="D76" s="101">
        <v>6</v>
      </c>
      <c r="E76" s="176">
        <f t="shared" si="12"/>
        <v>5</v>
      </c>
      <c r="J76" s="594"/>
      <c r="L76" s="607"/>
    </row>
    <row r="77" spans="1:12" ht="15.75">
      <c r="A77" s="611" t="s">
        <v>236</v>
      </c>
      <c r="B77" s="173" t="s">
        <v>101</v>
      </c>
      <c r="C77" s="174">
        <v>40</v>
      </c>
      <c r="D77" s="101">
        <v>20</v>
      </c>
      <c r="E77" s="176">
        <f t="shared" si="12"/>
        <v>20</v>
      </c>
      <c r="J77" s="609"/>
      <c r="L77" s="607"/>
    </row>
    <row r="78" spans="1:12" ht="15.75">
      <c r="A78" s="611"/>
      <c r="B78" s="173" t="s">
        <v>102</v>
      </c>
      <c r="C78" s="174">
        <v>40</v>
      </c>
      <c r="D78" s="101">
        <v>20</v>
      </c>
      <c r="E78" s="176">
        <f t="shared" si="12"/>
        <v>20</v>
      </c>
      <c r="J78" s="609"/>
      <c r="L78" s="607"/>
    </row>
    <row r="79" spans="1:12" ht="15.75">
      <c r="A79" s="611"/>
      <c r="B79" s="173" t="s">
        <v>95</v>
      </c>
      <c r="C79" s="174">
        <v>38</v>
      </c>
      <c r="D79" s="101">
        <v>18</v>
      </c>
      <c r="E79" s="176">
        <f t="shared" si="12"/>
        <v>20</v>
      </c>
      <c r="J79" s="609"/>
      <c r="L79" s="607"/>
    </row>
    <row r="80" spans="1:12" ht="15.75">
      <c r="A80" s="611"/>
      <c r="B80" s="173" t="s">
        <v>100</v>
      </c>
      <c r="C80" s="174">
        <v>39</v>
      </c>
      <c r="D80" s="101">
        <v>19</v>
      </c>
      <c r="E80" s="176">
        <f t="shared" si="12"/>
        <v>20</v>
      </c>
      <c r="J80" s="609"/>
      <c r="L80" s="607"/>
    </row>
    <row r="81" spans="1:12" ht="15.75">
      <c r="A81" s="611"/>
      <c r="B81" s="173" t="s">
        <v>243</v>
      </c>
      <c r="C81" s="174">
        <v>41</v>
      </c>
      <c r="D81" s="101">
        <v>20</v>
      </c>
      <c r="E81" s="176">
        <f t="shared" si="12"/>
        <v>21</v>
      </c>
      <c r="J81" s="609"/>
      <c r="L81" s="607"/>
    </row>
    <row r="82" spans="1:12" ht="15.75">
      <c r="A82" s="611"/>
      <c r="B82" s="173" t="s">
        <v>150</v>
      </c>
      <c r="C82" s="174">
        <v>40</v>
      </c>
      <c r="D82" s="101">
        <v>20</v>
      </c>
      <c r="E82" s="176">
        <f t="shared" si="12"/>
        <v>20</v>
      </c>
      <c r="J82" s="609"/>
      <c r="L82" s="607"/>
    </row>
    <row r="83" spans="1:12" ht="15.75">
      <c r="A83" s="611"/>
      <c r="B83" s="173" t="s">
        <v>244</v>
      </c>
      <c r="C83" s="174">
        <v>32</v>
      </c>
      <c r="D83" s="101">
        <v>16</v>
      </c>
      <c r="E83" s="176">
        <f t="shared" si="12"/>
        <v>16</v>
      </c>
      <c r="J83" s="609"/>
      <c r="L83" s="607"/>
    </row>
    <row r="84" spans="1:12" ht="15.75">
      <c r="A84" s="611"/>
      <c r="B84" s="173" t="s">
        <v>151</v>
      </c>
      <c r="C84" s="174">
        <v>34</v>
      </c>
      <c r="D84" s="101">
        <v>17</v>
      </c>
      <c r="E84" s="176">
        <f t="shared" si="12"/>
        <v>17</v>
      </c>
      <c r="J84" s="595"/>
      <c r="L84" s="607"/>
    </row>
    <row r="85" spans="1:12" ht="15.75">
      <c r="A85" s="611"/>
      <c r="B85" s="173" t="s">
        <v>190</v>
      </c>
      <c r="C85" s="174">
        <v>33</v>
      </c>
      <c r="D85" s="101">
        <v>17</v>
      </c>
      <c r="E85" s="176">
        <f t="shared" si="12"/>
        <v>16</v>
      </c>
      <c r="J85" s="594"/>
      <c r="L85" s="607"/>
    </row>
    <row r="86" spans="1:12" ht="15.75">
      <c r="A86" s="611" t="s">
        <v>237</v>
      </c>
      <c r="B86" s="177" t="s">
        <v>243</v>
      </c>
      <c r="C86" s="174">
        <v>35</v>
      </c>
      <c r="D86" s="101">
        <v>15</v>
      </c>
      <c r="E86" s="176">
        <f t="shared" si="12"/>
        <v>20</v>
      </c>
      <c r="J86" s="609"/>
      <c r="L86" s="607"/>
    </row>
    <row r="87" spans="1:12" ht="15.75">
      <c r="A87" s="611"/>
      <c r="B87" s="173" t="s">
        <v>150</v>
      </c>
      <c r="C87" s="174">
        <v>35</v>
      </c>
      <c r="D87" s="101">
        <v>15</v>
      </c>
      <c r="E87" s="176">
        <f t="shared" si="12"/>
        <v>20</v>
      </c>
      <c r="J87" s="609"/>
      <c r="L87" s="607"/>
    </row>
    <row r="88" spans="1:12" ht="15.75">
      <c r="A88" s="611"/>
      <c r="B88" s="173" t="s">
        <v>100</v>
      </c>
      <c r="C88" s="174">
        <v>37</v>
      </c>
      <c r="D88" s="101">
        <v>17</v>
      </c>
      <c r="E88" s="176">
        <f t="shared" si="12"/>
        <v>20</v>
      </c>
      <c r="J88" s="609"/>
      <c r="L88" s="607"/>
    </row>
    <row r="89" spans="1:12" ht="15.75">
      <c r="A89" s="611"/>
      <c r="B89" s="173" t="s">
        <v>95</v>
      </c>
      <c r="C89" s="174">
        <v>35</v>
      </c>
      <c r="D89" s="101">
        <v>15</v>
      </c>
      <c r="E89" s="176">
        <f t="shared" si="12"/>
        <v>20</v>
      </c>
      <c r="J89" s="609"/>
      <c r="L89" s="607"/>
    </row>
    <row r="90" spans="1:12" ht="15.75">
      <c r="A90" s="611"/>
      <c r="B90" s="173" t="s">
        <v>102</v>
      </c>
      <c r="C90" s="174">
        <v>34</v>
      </c>
      <c r="D90" s="101">
        <v>15</v>
      </c>
      <c r="E90" s="176">
        <f t="shared" si="12"/>
        <v>19</v>
      </c>
      <c r="J90" s="609"/>
      <c r="L90" s="607"/>
    </row>
    <row r="91" spans="1:12" ht="15.75">
      <c r="A91" s="611"/>
      <c r="B91" s="173" t="s">
        <v>101</v>
      </c>
      <c r="C91" s="174">
        <v>36</v>
      </c>
      <c r="D91" s="101">
        <v>17</v>
      </c>
      <c r="E91" s="176">
        <f t="shared" si="12"/>
        <v>19</v>
      </c>
      <c r="J91" s="595"/>
      <c r="L91" s="607"/>
    </row>
    <row r="92" spans="1:12" ht="15.75">
      <c r="A92" s="611"/>
      <c r="B92" s="173" t="s">
        <v>245</v>
      </c>
      <c r="C92" s="174">
        <v>38</v>
      </c>
      <c r="D92" s="101">
        <v>17</v>
      </c>
      <c r="E92" s="176">
        <f t="shared" si="12"/>
        <v>21</v>
      </c>
      <c r="J92" s="594"/>
      <c r="L92" s="607"/>
    </row>
    <row r="93" spans="1:12" ht="15.75">
      <c r="A93" s="611" t="s">
        <v>105</v>
      </c>
      <c r="B93" s="173" t="s">
        <v>246</v>
      </c>
      <c r="C93" s="174">
        <v>12</v>
      </c>
      <c r="D93" s="101">
        <v>0</v>
      </c>
      <c r="E93" s="176">
        <f t="shared" si="12"/>
        <v>12</v>
      </c>
      <c r="J93" s="609"/>
      <c r="L93" s="607"/>
    </row>
    <row r="94" spans="1:12" ht="15.75">
      <c r="A94" s="611"/>
      <c r="B94" s="173" t="s">
        <v>95</v>
      </c>
      <c r="C94" s="174">
        <v>6</v>
      </c>
      <c r="D94" s="101">
        <v>0</v>
      </c>
      <c r="E94" s="176">
        <f t="shared" si="12"/>
        <v>6</v>
      </c>
      <c r="J94" s="609"/>
      <c r="L94" s="607"/>
    </row>
    <row r="95" spans="1:12" ht="15.75">
      <c r="A95" s="611"/>
      <c r="B95" s="173" t="s">
        <v>96</v>
      </c>
      <c r="C95" s="174">
        <v>6</v>
      </c>
      <c r="D95" s="101">
        <v>0</v>
      </c>
      <c r="E95" s="176">
        <f t="shared" si="12"/>
        <v>6</v>
      </c>
      <c r="J95" s="595"/>
      <c r="L95" s="607"/>
    </row>
    <row r="96" spans="1:12" ht="15.75">
      <c r="A96" s="611"/>
      <c r="B96" s="173" t="s">
        <v>101</v>
      </c>
      <c r="C96" s="174">
        <v>4</v>
      </c>
      <c r="D96" s="101">
        <v>0</v>
      </c>
      <c r="E96" s="176">
        <f t="shared" si="12"/>
        <v>4</v>
      </c>
      <c r="J96" s="594"/>
      <c r="L96" s="607"/>
    </row>
    <row r="97" spans="1:12" ht="15.75">
      <c r="A97" s="611" t="s">
        <v>238</v>
      </c>
      <c r="B97" s="173" t="s">
        <v>101</v>
      </c>
      <c r="C97" s="174">
        <v>39</v>
      </c>
      <c r="D97" s="101">
        <v>20</v>
      </c>
      <c r="E97" s="176">
        <f t="shared" si="12"/>
        <v>19</v>
      </c>
      <c r="J97" s="609"/>
      <c r="L97" s="607"/>
    </row>
    <row r="98" spans="1:12" ht="15.75">
      <c r="A98" s="611"/>
      <c r="B98" s="173" t="s">
        <v>112</v>
      </c>
      <c r="C98" s="174">
        <v>26</v>
      </c>
      <c r="D98" s="101">
        <v>13</v>
      </c>
      <c r="E98" s="176">
        <f t="shared" si="12"/>
        <v>13</v>
      </c>
      <c r="J98" s="609"/>
      <c r="L98" s="607"/>
    </row>
    <row r="99" spans="1:12" ht="15.75">
      <c r="A99" s="611"/>
      <c r="B99" s="173" t="s">
        <v>95</v>
      </c>
      <c r="C99" s="174">
        <v>18</v>
      </c>
      <c r="D99" s="101">
        <v>9</v>
      </c>
      <c r="E99" s="176">
        <f t="shared" si="12"/>
        <v>9</v>
      </c>
      <c r="J99" s="595"/>
      <c r="L99" s="181"/>
    </row>
    <row r="100" spans="1:12" ht="15.75">
      <c r="A100" s="611"/>
      <c r="B100" s="173" t="s">
        <v>114</v>
      </c>
      <c r="C100" s="174">
        <v>18</v>
      </c>
      <c r="D100" s="101">
        <v>9</v>
      </c>
      <c r="E100" s="176">
        <f t="shared" si="12"/>
        <v>9</v>
      </c>
      <c r="J100" s="180"/>
      <c r="L100" s="607"/>
    </row>
    <row r="101" spans="1:12" ht="15.75">
      <c r="A101" s="175" t="s">
        <v>239</v>
      </c>
      <c r="B101" s="173" t="s">
        <v>96</v>
      </c>
      <c r="C101" s="174">
        <v>19</v>
      </c>
      <c r="D101" s="101">
        <v>9</v>
      </c>
      <c r="E101" s="176">
        <f t="shared" si="12"/>
        <v>10</v>
      </c>
      <c r="J101" s="594"/>
      <c r="L101" s="607"/>
    </row>
    <row r="102" spans="1:12" ht="15.75">
      <c r="A102" s="611" t="s">
        <v>240</v>
      </c>
      <c r="B102" s="173" t="s">
        <v>101</v>
      </c>
      <c r="C102" s="174">
        <v>36</v>
      </c>
      <c r="D102" s="101">
        <v>16</v>
      </c>
      <c r="E102" s="176">
        <f t="shared" si="12"/>
        <v>20</v>
      </c>
      <c r="J102" s="609"/>
      <c r="L102" s="607"/>
    </row>
    <row r="103" spans="1:12" ht="15.75">
      <c r="A103" s="611"/>
      <c r="B103" s="173" t="s">
        <v>158</v>
      </c>
      <c r="C103" s="174">
        <v>51</v>
      </c>
      <c r="D103" s="101">
        <v>24</v>
      </c>
      <c r="E103" s="176">
        <f t="shared" si="12"/>
        <v>27</v>
      </c>
      <c r="J103" s="609"/>
      <c r="L103" s="607"/>
    </row>
    <row r="104" spans="1:12" ht="15.75">
      <c r="A104" s="611"/>
      <c r="B104" s="173" t="s">
        <v>95</v>
      </c>
      <c r="C104" s="174">
        <v>25</v>
      </c>
      <c r="D104" s="101">
        <v>12</v>
      </c>
      <c r="E104" s="176">
        <f t="shared" si="12"/>
        <v>13</v>
      </c>
      <c r="J104" s="609"/>
      <c r="L104" s="607"/>
    </row>
    <row r="105" spans="1:12" ht="15.75">
      <c r="A105" s="611"/>
      <c r="B105" s="173" t="s">
        <v>190</v>
      </c>
      <c r="C105" s="174">
        <v>26</v>
      </c>
      <c r="D105" s="101">
        <v>13</v>
      </c>
      <c r="E105" s="176">
        <f t="shared" si="12"/>
        <v>13</v>
      </c>
      <c r="J105" s="595"/>
      <c r="L105" s="607"/>
    </row>
    <row r="106" spans="1:12" ht="15.75">
      <c r="A106" s="611"/>
      <c r="B106" s="173" t="s">
        <v>244</v>
      </c>
      <c r="C106" s="174">
        <v>26</v>
      </c>
      <c r="D106" s="101">
        <v>13</v>
      </c>
      <c r="E106" s="176">
        <f t="shared" si="12"/>
        <v>13</v>
      </c>
      <c r="J106" s="594"/>
      <c r="L106" s="607"/>
    </row>
    <row r="107" spans="1:12" ht="15.75">
      <c r="A107" s="611">
        <v>192</v>
      </c>
      <c r="B107" s="173" t="s">
        <v>101</v>
      </c>
      <c r="C107" s="174">
        <v>33</v>
      </c>
      <c r="D107" s="101">
        <v>10</v>
      </c>
      <c r="E107" s="176">
        <f t="shared" si="12"/>
        <v>23</v>
      </c>
      <c r="J107" s="595"/>
      <c r="L107" s="181"/>
    </row>
    <row r="108" spans="1:12" ht="15.75">
      <c r="A108" s="611"/>
      <c r="B108" s="173" t="s">
        <v>98</v>
      </c>
      <c r="C108" s="174">
        <v>55</v>
      </c>
      <c r="D108" s="101">
        <v>20</v>
      </c>
      <c r="E108" s="176">
        <f t="shared" si="12"/>
        <v>35</v>
      </c>
      <c r="J108" s="180"/>
      <c r="L108" s="181"/>
    </row>
    <row r="109" spans="1:12" ht="31.5">
      <c r="A109" s="175" t="s">
        <v>248</v>
      </c>
      <c r="B109" s="173" t="s">
        <v>96</v>
      </c>
      <c r="C109" s="174">
        <v>21</v>
      </c>
      <c r="D109" s="101">
        <v>11</v>
      </c>
      <c r="E109" s="176">
        <f t="shared" si="12"/>
        <v>10</v>
      </c>
      <c r="J109" s="180"/>
    </row>
    <row r="110" spans="1:12" ht="47.25">
      <c r="A110" s="175" t="s">
        <v>187</v>
      </c>
      <c r="B110" s="173" t="s">
        <v>247</v>
      </c>
      <c r="C110" s="174">
        <v>69</v>
      </c>
      <c r="D110" s="101">
        <v>35</v>
      </c>
      <c r="E110" s="176">
        <f t="shared" si="12"/>
        <v>34</v>
      </c>
      <c r="J110" s="5"/>
    </row>
    <row r="111" spans="1:12" ht="15.75">
      <c r="A111" s="175" t="s">
        <v>4</v>
      </c>
      <c r="B111" s="1"/>
      <c r="C111" s="101">
        <f>SUM(C60:C110)</f>
        <v>1521</v>
      </c>
      <c r="D111" s="176">
        <f>SUM(D60:D110)</f>
        <v>698</v>
      </c>
      <c r="E111" s="176">
        <f>SUM(E60:E110)</f>
        <v>823</v>
      </c>
    </row>
  </sheetData>
  <mergeCells count="190">
    <mergeCell ref="J106:J107"/>
    <mergeCell ref="J59:J62"/>
    <mergeCell ref="J63:J64"/>
    <mergeCell ref="J65:J69"/>
    <mergeCell ref="J70:J75"/>
    <mergeCell ref="J76:J84"/>
    <mergeCell ref="J85:J91"/>
    <mergeCell ref="J92:J95"/>
    <mergeCell ref="J96:J99"/>
    <mergeCell ref="J101:J105"/>
    <mergeCell ref="L58:L61"/>
    <mergeCell ref="L62:L63"/>
    <mergeCell ref="L64:L68"/>
    <mergeCell ref="L69:L74"/>
    <mergeCell ref="L75:L90"/>
    <mergeCell ref="L91:L94"/>
    <mergeCell ref="L95:L98"/>
    <mergeCell ref="L100:L104"/>
    <mergeCell ref="L105:L106"/>
    <mergeCell ref="A58:E58"/>
    <mergeCell ref="A60:A63"/>
    <mergeCell ref="A64:A65"/>
    <mergeCell ref="A66:A70"/>
    <mergeCell ref="A71:A76"/>
    <mergeCell ref="A77:A85"/>
    <mergeCell ref="A86:A92"/>
    <mergeCell ref="A93:A96"/>
    <mergeCell ref="A97:A100"/>
    <mergeCell ref="A102:A106"/>
    <mergeCell ref="A107:A108"/>
    <mergeCell ref="A1:M1"/>
    <mergeCell ref="A36:A39"/>
    <mergeCell ref="I3:I6"/>
    <mergeCell ref="I7:I8"/>
    <mergeCell ref="I9:I13"/>
    <mergeCell ref="I14:I19"/>
    <mergeCell ref="I36:I39"/>
    <mergeCell ref="L20:L28"/>
    <mergeCell ref="L29:L35"/>
    <mergeCell ref="K20:K28"/>
    <mergeCell ref="L3:L6"/>
    <mergeCell ref="L7:L8"/>
    <mergeCell ref="L9:L13"/>
    <mergeCell ref="A40:A43"/>
    <mergeCell ref="A45:A49"/>
    <mergeCell ref="A50:A51"/>
    <mergeCell ref="G3:G6"/>
    <mergeCell ref="G7:G8"/>
    <mergeCell ref="G9:G13"/>
    <mergeCell ref="G14:G19"/>
    <mergeCell ref="G36:G39"/>
    <mergeCell ref="A3:A6"/>
    <mergeCell ref="A7:A8"/>
    <mergeCell ref="A9:A13"/>
    <mergeCell ref="A14:A19"/>
    <mergeCell ref="A20:A28"/>
    <mergeCell ref="A29:A35"/>
    <mergeCell ref="G40:G43"/>
    <mergeCell ref="G45:G49"/>
    <mergeCell ref="G50:G51"/>
    <mergeCell ref="H3:H6"/>
    <mergeCell ref="H7:H8"/>
    <mergeCell ref="H9:H13"/>
    <mergeCell ref="H14:H19"/>
    <mergeCell ref="H36:H39"/>
    <mergeCell ref="H40:H43"/>
    <mergeCell ref="H45:H49"/>
    <mergeCell ref="H50:H51"/>
    <mergeCell ref="G20:G28"/>
    <mergeCell ref="G29:G35"/>
    <mergeCell ref="H20:H28"/>
    <mergeCell ref="H29:H35"/>
    <mergeCell ref="I40:I43"/>
    <mergeCell ref="I45:I49"/>
    <mergeCell ref="I50:I51"/>
    <mergeCell ref="J3:J6"/>
    <mergeCell ref="J7:J8"/>
    <mergeCell ref="J9:J13"/>
    <mergeCell ref="J14:J19"/>
    <mergeCell ref="J36:J39"/>
    <mergeCell ref="J40:J43"/>
    <mergeCell ref="J45:J49"/>
    <mergeCell ref="J50:J51"/>
    <mergeCell ref="I20:I28"/>
    <mergeCell ref="J29:J35"/>
    <mergeCell ref="I29:I35"/>
    <mergeCell ref="J20:J28"/>
    <mergeCell ref="K14:K19"/>
    <mergeCell ref="P36:P39"/>
    <mergeCell ref="P40:P43"/>
    <mergeCell ref="P45:P49"/>
    <mergeCell ref="P3:P6"/>
    <mergeCell ref="P7:P8"/>
    <mergeCell ref="P9:P13"/>
    <mergeCell ref="P14:P19"/>
    <mergeCell ref="P20:P35"/>
    <mergeCell ref="K3:K6"/>
    <mergeCell ref="K7:K8"/>
    <mergeCell ref="K9:K13"/>
    <mergeCell ref="K29:K35"/>
    <mergeCell ref="L40:L43"/>
    <mergeCell ref="L45:L49"/>
    <mergeCell ref="L50:L51"/>
    <mergeCell ref="K36:K39"/>
    <mergeCell ref="K40:K43"/>
    <mergeCell ref="K45:K49"/>
    <mergeCell ref="K50:K51"/>
    <mergeCell ref="L36:L39"/>
    <mergeCell ref="V1:AH1"/>
    <mergeCell ref="V3:V6"/>
    <mergeCell ref="AB3:AB6"/>
    <mergeCell ref="AC3:AC6"/>
    <mergeCell ref="AD3:AD6"/>
    <mergeCell ref="AE3:AE6"/>
    <mergeCell ref="AF3:AF6"/>
    <mergeCell ref="AG3:AG6"/>
    <mergeCell ref="P50:P51"/>
    <mergeCell ref="AF9:AF13"/>
    <mergeCell ref="AG9:AG13"/>
    <mergeCell ref="AF20:AF28"/>
    <mergeCell ref="AG20:AG28"/>
    <mergeCell ref="AF36:AF39"/>
    <mergeCell ref="AG36:AG39"/>
    <mergeCell ref="AF45:AF49"/>
    <mergeCell ref="AG45:AG49"/>
    <mergeCell ref="L14:L19"/>
    <mergeCell ref="AK3:AK6"/>
    <mergeCell ref="V7:V8"/>
    <mergeCell ref="AB7:AB8"/>
    <mergeCell ref="AC7:AC8"/>
    <mergeCell ref="AD7:AD8"/>
    <mergeCell ref="AE7:AE8"/>
    <mergeCell ref="AF7:AF8"/>
    <mergeCell ref="AG7:AG8"/>
    <mergeCell ref="AK7:AK8"/>
    <mergeCell ref="AK9:AK13"/>
    <mergeCell ref="V14:V19"/>
    <mergeCell ref="AB14:AB19"/>
    <mergeCell ref="AC14:AC19"/>
    <mergeCell ref="AD14:AD19"/>
    <mergeCell ref="AE14:AE19"/>
    <mergeCell ref="AF14:AF19"/>
    <mergeCell ref="AG14:AG19"/>
    <mergeCell ref="AK14:AK19"/>
    <mergeCell ref="V9:V13"/>
    <mergeCell ref="AB9:AB13"/>
    <mergeCell ref="AC9:AC13"/>
    <mergeCell ref="AD9:AD13"/>
    <mergeCell ref="AE9:AE13"/>
    <mergeCell ref="AK20:AK35"/>
    <mergeCell ref="V29:V35"/>
    <mergeCell ref="AB29:AB35"/>
    <mergeCell ref="AC29:AC35"/>
    <mergeCell ref="AD29:AD35"/>
    <mergeCell ref="AE29:AE35"/>
    <mergeCell ref="AF29:AF35"/>
    <mergeCell ref="AG29:AG35"/>
    <mergeCell ref="V20:V28"/>
    <mergeCell ref="AB20:AB28"/>
    <mergeCell ref="AC20:AC28"/>
    <mergeCell ref="AD20:AD28"/>
    <mergeCell ref="AE20:AE28"/>
    <mergeCell ref="AK36:AK39"/>
    <mergeCell ref="V40:V43"/>
    <mergeCell ref="AB40:AB43"/>
    <mergeCell ref="AC40:AC43"/>
    <mergeCell ref="AD40:AD43"/>
    <mergeCell ref="AE40:AE43"/>
    <mergeCell ref="AF40:AF43"/>
    <mergeCell ref="AG40:AG43"/>
    <mergeCell ref="AK40:AK43"/>
    <mergeCell ref="V36:V39"/>
    <mergeCell ref="AB36:AB39"/>
    <mergeCell ref="AC36:AC39"/>
    <mergeCell ref="AD36:AD39"/>
    <mergeCell ref="AE36:AE39"/>
    <mergeCell ref="AK45:AK49"/>
    <mergeCell ref="V50:V51"/>
    <mergeCell ref="AB50:AB51"/>
    <mergeCell ref="AC50:AC51"/>
    <mergeCell ref="AD50:AD51"/>
    <mergeCell ref="AE50:AE51"/>
    <mergeCell ref="AF50:AF51"/>
    <mergeCell ref="AG50:AG51"/>
    <mergeCell ref="AK50:AK51"/>
    <mergeCell ref="V45:V49"/>
    <mergeCell ref="AB45:AB49"/>
    <mergeCell ref="AC45:AC49"/>
    <mergeCell ref="AD45:AD49"/>
    <mergeCell ref="AE45:AE49"/>
  </mergeCells>
  <pageMargins left="0.24" right="0.15" top="0.48" bottom="0.18" header="0.14000000000000001" footer="0.17"/>
  <pageSetup paperSize="9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workbookViewId="0">
      <selection activeCell="F20" sqref="F20"/>
    </sheetView>
  </sheetViews>
  <sheetFormatPr defaultRowHeight="15"/>
  <cols>
    <col min="1" max="1" width="13.140625" customWidth="1"/>
    <col min="2" max="2" width="10.85546875" customWidth="1"/>
    <col min="4" max="4" width="6.7109375" customWidth="1"/>
    <col min="5" max="5" width="5.5703125" customWidth="1"/>
    <col min="8" max="8" width="7.28515625" customWidth="1"/>
    <col min="9" max="9" width="7" customWidth="1"/>
    <col min="11" max="11" width="9" customWidth="1"/>
    <col min="12" max="12" width="7.42578125" customWidth="1"/>
    <col min="14" max="14" width="8.85546875" customWidth="1"/>
    <col min="15" max="15" width="6.42578125" customWidth="1"/>
    <col min="16" max="16" width="7.7109375" customWidth="1"/>
    <col min="20" max="20" width="13.140625" customWidth="1"/>
    <col min="21" max="21" width="10.28515625" customWidth="1"/>
    <col min="22" max="22" width="8.28515625" customWidth="1"/>
    <col min="23" max="23" width="6" customWidth="1"/>
    <col min="26" max="26" width="7.7109375" customWidth="1"/>
    <col min="27" max="27" width="7.85546875" customWidth="1"/>
    <col min="28" max="28" width="7" customWidth="1"/>
    <col min="29" max="29" width="8.28515625" customWidth="1"/>
    <col min="31" max="31" width="7.85546875" customWidth="1"/>
    <col min="32" max="32" width="7" customWidth="1"/>
    <col min="33" max="33" width="8.7109375" customWidth="1"/>
    <col min="34" max="34" width="6.28515625" customWidth="1"/>
    <col min="35" max="35" width="7.7109375" customWidth="1"/>
  </cols>
  <sheetData>
    <row r="1" spans="1:35" ht="23.25" customHeight="1">
      <c r="A1" s="605" t="s">
        <v>253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184">
        <v>44936</v>
      </c>
      <c r="T1" s="605" t="s">
        <v>265</v>
      </c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184">
        <v>44936</v>
      </c>
    </row>
    <row r="2" spans="1:35" ht="42" customHeight="1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85" t="s">
        <v>124</v>
      </c>
      <c r="O2" s="105" t="s">
        <v>126</v>
      </c>
      <c r="P2" s="105" t="s">
        <v>266</v>
      </c>
      <c r="T2" s="100" t="s">
        <v>0</v>
      </c>
      <c r="U2" s="100" t="s">
        <v>140</v>
      </c>
      <c r="V2" s="101" t="s">
        <v>123</v>
      </c>
      <c r="W2" s="101" t="s">
        <v>2</v>
      </c>
      <c r="X2" s="101" t="s">
        <v>3</v>
      </c>
      <c r="Y2" s="102" t="s">
        <v>4</v>
      </c>
      <c r="Z2" s="103" t="s">
        <v>5</v>
      </c>
      <c r="AA2" s="103" t="s">
        <v>6</v>
      </c>
      <c r="AB2" s="103" t="s">
        <v>7</v>
      </c>
      <c r="AC2" s="101" t="s">
        <v>8</v>
      </c>
      <c r="AD2" s="104" t="s">
        <v>9</v>
      </c>
      <c r="AE2" s="103" t="s">
        <v>10</v>
      </c>
      <c r="AF2" s="105" t="s">
        <v>125</v>
      </c>
      <c r="AG2" s="185" t="s">
        <v>124</v>
      </c>
      <c r="AH2" s="105" t="s">
        <v>126</v>
      </c>
      <c r="AI2" s="105" t="s">
        <v>249</v>
      </c>
    </row>
    <row r="3" spans="1:35" ht="15" customHeight="1">
      <c r="A3" s="614" t="s">
        <v>254</v>
      </c>
      <c r="B3" s="186" t="s">
        <v>95</v>
      </c>
      <c r="C3" s="186">
        <f>N3*30</f>
        <v>300</v>
      </c>
      <c r="D3" s="183">
        <v>1.1000000000000001</v>
      </c>
      <c r="E3" s="183">
        <v>229</v>
      </c>
      <c r="F3" s="107">
        <f>C3*D3*E3</f>
        <v>75570</v>
      </c>
      <c r="G3" s="614">
        <v>530</v>
      </c>
      <c r="H3" s="590">
        <v>1953</v>
      </c>
      <c r="I3" s="590">
        <v>560</v>
      </c>
      <c r="J3" s="590">
        <f>G3/H3*SUM(C3:C4)*I3</f>
        <v>92550.537634408611</v>
      </c>
      <c r="K3" s="582">
        <f>J3+SUM(F3:F4)</f>
        <v>245957.6376344086</v>
      </c>
      <c r="L3" s="582">
        <f>K3/SUM(C3:C4)</f>
        <v>403.87132616487457</v>
      </c>
      <c r="M3" s="186">
        <v>33</v>
      </c>
      <c r="N3" s="186">
        <v>10</v>
      </c>
      <c r="O3" s="186">
        <f>M3-N3</f>
        <v>23</v>
      </c>
      <c r="P3" s="614">
        <v>610</v>
      </c>
      <c r="Q3" s="186">
        <v>984</v>
      </c>
      <c r="S3">
        <f>V3+C3</f>
        <v>984</v>
      </c>
      <c r="T3" s="614" t="s">
        <v>254</v>
      </c>
      <c r="U3" s="192" t="s">
        <v>95</v>
      </c>
      <c r="V3" s="192">
        <v>684</v>
      </c>
      <c r="W3" s="191">
        <v>1.1000000000000001</v>
      </c>
      <c r="X3" s="191">
        <v>229</v>
      </c>
      <c r="Y3" s="107">
        <f>V3*W3*X3</f>
        <v>172299.60000000003</v>
      </c>
      <c r="Z3" s="614">
        <v>530</v>
      </c>
      <c r="AA3" s="590">
        <v>1953</v>
      </c>
      <c r="AB3" s="590">
        <v>560</v>
      </c>
      <c r="AC3" s="590">
        <f>Z3/AA3*SUM(V3:V4)*AB3</f>
        <v>204249.4623655914</v>
      </c>
      <c r="AD3" s="582">
        <f>AC3+SUM(Y3:Y4)</f>
        <v>542803.06236559153</v>
      </c>
      <c r="AE3" s="582">
        <f>AD3/SUM(V3:V4)</f>
        <v>403.87132616487463</v>
      </c>
      <c r="AF3" s="192">
        <v>33</v>
      </c>
      <c r="AG3" s="192">
        <v>10</v>
      </c>
      <c r="AH3" s="192">
        <f>AF3-AG3</f>
        <v>23</v>
      </c>
      <c r="AI3" s="614">
        <v>610</v>
      </c>
    </row>
    <row r="4" spans="1:35" ht="12.75" customHeight="1">
      <c r="A4" s="614"/>
      <c r="B4" s="186" t="s">
        <v>97</v>
      </c>
      <c r="C4" s="186">
        <v>309</v>
      </c>
      <c r="D4" s="183">
        <v>1.1000000000000001</v>
      </c>
      <c r="E4" s="183">
        <v>229</v>
      </c>
      <c r="F4" s="107">
        <f t="shared" ref="F4:F34" si="0">C4*D4*E4</f>
        <v>77837.100000000006</v>
      </c>
      <c r="G4" s="614"/>
      <c r="H4" s="590"/>
      <c r="I4" s="590"/>
      <c r="J4" s="590"/>
      <c r="K4" s="582"/>
      <c r="L4" s="582"/>
      <c r="M4" s="186">
        <v>32</v>
      </c>
      <c r="N4" s="186">
        <v>10</v>
      </c>
      <c r="O4" s="186">
        <f t="shared" ref="O4:O34" si="1">M4-N4</f>
        <v>22</v>
      </c>
      <c r="P4" s="614"/>
      <c r="Q4" s="186">
        <v>969</v>
      </c>
      <c r="S4">
        <f t="shared" ref="S4:S34" si="2">V4+C4</f>
        <v>969</v>
      </c>
      <c r="T4" s="614"/>
      <c r="U4" s="192" t="s">
        <v>97</v>
      </c>
      <c r="V4" s="192">
        <v>660</v>
      </c>
      <c r="W4" s="191">
        <v>1.1000000000000001</v>
      </c>
      <c r="X4" s="191">
        <v>229</v>
      </c>
      <c r="Y4" s="107">
        <f t="shared" ref="Y4:Y34" si="3">V4*W4*X4</f>
        <v>166254.00000000003</v>
      </c>
      <c r="Z4" s="614"/>
      <c r="AA4" s="590"/>
      <c r="AB4" s="590"/>
      <c r="AC4" s="590"/>
      <c r="AD4" s="582"/>
      <c r="AE4" s="582"/>
      <c r="AF4" s="192">
        <v>32</v>
      </c>
      <c r="AG4" s="192">
        <v>10</v>
      </c>
      <c r="AH4" s="192">
        <f t="shared" ref="AH4:AH34" si="4">AF4-AG4</f>
        <v>22</v>
      </c>
      <c r="AI4" s="614"/>
    </row>
    <row r="5" spans="1:35" ht="25.5" customHeight="1">
      <c r="A5" s="188" t="s">
        <v>255</v>
      </c>
      <c r="B5" s="186" t="s">
        <v>188</v>
      </c>
      <c r="C5" s="186">
        <f t="shared" ref="C5:C19" si="5">N5*30</f>
        <v>1050</v>
      </c>
      <c r="D5" s="183">
        <v>1.8</v>
      </c>
      <c r="E5" s="183">
        <v>229</v>
      </c>
      <c r="F5" s="107">
        <f t="shared" si="0"/>
        <v>432810</v>
      </c>
      <c r="G5" s="186">
        <v>1490</v>
      </c>
      <c r="H5" s="183">
        <v>2070</v>
      </c>
      <c r="I5" s="183">
        <v>560</v>
      </c>
      <c r="J5" s="183">
        <f>G5/H5*SUM(C5:C5)*I5</f>
        <v>423246.37681159424</v>
      </c>
      <c r="K5" s="182">
        <f>J5+F5</f>
        <v>856056.37681159424</v>
      </c>
      <c r="L5" s="182">
        <f>K5/SUM(C5)</f>
        <v>815.29178743961359</v>
      </c>
      <c r="M5" s="186">
        <v>69</v>
      </c>
      <c r="N5" s="186">
        <v>35</v>
      </c>
      <c r="O5" s="186">
        <f t="shared" si="1"/>
        <v>34</v>
      </c>
      <c r="P5" s="186">
        <v>2220</v>
      </c>
      <c r="Q5" s="186">
        <v>2070</v>
      </c>
      <c r="S5">
        <f t="shared" si="2"/>
        <v>2070</v>
      </c>
      <c r="T5" s="193" t="s">
        <v>255</v>
      </c>
      <c r="U5" s="192" t="s">
        <v>188</v>
      </c>
      <c r="V5" s="192">
        <v>1020</v>
      </c>
      <c r="W5" s="191">
        <v>1.8</v>
      </c>
      <c r="X5" s="191">
        <v>229</v>
      </c>
      <c r="Y5" s="107">
        <f t="shared" si="3"/>
        <v>420444</v>
      </c>
      <c r="Z5" s="192">
        <v>1490</v>
      </c>
      <c r="AA5" s="191">
        <v>2070</v>
      </c>
      <c r="AB5" s="191">
        <v>560</v>
      </c>
      <c r="AC5" s="191">
        <f>Z5/AA5*SUM(V5:V5)*AB5</f>
        <v>411153.62318840576</v>
      </c>
      <c r="AD5" s="190">
        <f>AC5+Y5</f>
        <v>831597.62318840576</v>
      </c>
      <c r="AE5" s="190">
        <f>AD5/SUM(V5)</f>
        <v>815.29178743961347</v>
      </c>
      <c r="AF5" s="192">
        <v>69</v>
      </c>
      <c r="AG5" s="192">
        <v>35</v>
      </c>
      <c r="AH5" s="192">
        <f t="shared" si="4"/>
        <v>34</v>
      </c>
      <c r="AI5" s="192">
        <v>2220</v>
      </c>
    </row>
    <row r="6" spans="1:35" ht="13.5" customHeight="1">
      <c r="A6" s="615" t="s">
        <v>256</v>
      </c>
      <c r="B6" s="186" t="s">
        <v>97</v>
      </c>
      <c r="C6" s="186">
        <f t="shared" si="5"/>
        <v>540</v>
      </c>
      <c r="D6" s="183">
        <v>1.1000000000000001</v>
      </c>
      <c r="E6" s="183">
        <v>229</v>
      </c>
      <c r="F6" s="107">
        <f t="shared" si="0"/>
        <v>136026</v>
      </c>
      <c r="G6" s="614">
        <v>1100</v>
      </c>
      <c r="H6" s="590">
        <v>3959</v>
      </c>
      <c r="I6" s="590">
        <v>560</v>
      </c>
      <c r="J6" s="590">
        <f>G6/H6*SUM(C6:C9)*I6</f>
        <v>311812.07375599898</v>
      </c>
      <c r="K6" s="582">
        <f>J6+SUM(F6:F9)</f>
        <v>816619.67375599896</v>
      </c>
      <c r="L6" s="582">
        <f>K6/SUM(C6:C9)</f>
        <v>407.4948471836322</v>
      </c>
      <c r="M6" s="186">
        <v>35</v>
      </c>
      <c r="N6" s="186">
        <v>18</v>
      </c>
      <c r="O6" s="186">
        <f t="shared" si="1"/>
        <v>17</v>
      </c>
      <c r="P6" s="614">
        <v>1350</v>
      </c>
      <c r="Q6" s="186">
        <v>1055</v>
      </c>
      <c r="S6">
        <f t="shared" si="2"/>
        <v>1055</v>
      </c>
      <c r="T6" s="615" t="s">
        <v>256</v>
      </c>
      <c r="U6" s="192" t="s">
        <v>97</v>
      </c>
      <c r="V6" s="192">
        <v>515</v>
      </c>
      <c r="W6" s="191">
        <v>1.1000000000000001</v>
      </c>
      <c r="X6" s="191">
        <v>229</v>
      </c>
      <c r="Y6" s="107">
        <f t="shared" si="3"/>
        <v>129728.5</v>
      </c>
      <c r="Z6" s="614">
        <v>1100</v>
      </c>
      <c r="AA6" s="590">
        <v>3959</v>
      </c>
      <c r="AB6" s="590">
        <v>560</v>
      </c>
      <c r="AC6" s="590">
        <f>Z6/AA6*SUM(V6:V9)*AB6</f>
        <v>304187.92624400102</v>
      </c>
      <c r="AD6" s="582">
        <f>AC6+SUM(Y6:Y9)</f>
        <v>796652.42624400102</v>
      </c>
      <c r="AE6" s="582">
        <f>AD6/SUM(V6:V9)</f>
        <v>407.49484718363226</v>
      </c>
      <c r="AF6" s="192">
        <v>35</v>
      </c>
      <c r="AG6" s="192">
        <v>18</v>
      </c>
      <c r="AH6" s="192">
        <f t="shared" si="4"/>
        <v>17</v>
      </c>
      <c r="AI6" s="614">
        <v>1350</v>
      </c>
    </row>
    <row r="7" spans="1:35" ht="13.5" customHeight="1">
      <c r="A7" s="615"/>
      <c r="B7" s="186" t="s">
        <v>95</v>
      </c>
      <c r="C7" s="186">
        <f t="shared" si="5"/>
        <v>450</v>
      </c>
      <c r="D7" s="183">
        <v>1.1000000000000001</v>
      </c>
      <c r="E7" s="183">
        <v>229</v>
      </c>
      <c r="F7" s="107">
        <f t="shared" si="0"/>
        <v>113355.00000000001</v>
      </c>
      <c r="G7" s="614"/>
      <c r="H7" s="590"/>
      <c r="I7" s="590"/>
      <c r="J7" s="590"/>
      <c r="K7" s="582"/>
      <c r="L7" s="582"/>
      <c r="M7" s="186">
        <v>30</v>
      </c>
      <c r="N7" s="186">
        <v>15</v>
      </c>
      <c r="O7" s="186">
        <f t="shared" si="1"/>
        <v>15</v>
      </c>
      <c r="P7" s="614"/>
      <c r="Q7" s="186">
        <v>900</v>
      </c>
      <c r="S7">
        <f t="shared" si="2"/>
        <v>900</v>
      </c>
      <c r="T7" s="615"/>
      <c r="U7" s="192" t="s">
        <v>95</v>
      </c>
      <c r="V7" s="192">
        <v>450</v>
      </c>
      <c r="W7" s="191">
        <v>1.1000000000000001</v>
      </c>
      <c r="X7" s="191">
        <v>229</v>
      </c>
      <c r="Y7" s="107">
        <f t="shared" si="3"/>
        <v>113355.00000000001</v>
      </c>
      <c r="Z7" s="614"/>
      <c r="AA7" s="590"/>
      <c r="AB7" s="590"/>
      <c r="AC7" s="590"/>
      <c r="AD7" s="582"/>
      <c r="AE7" s="582"/>
      <c r="AF7" s="192">
        <v>30</v>
      </c>
      <c r="AG7" s="192">
        <v>15</v>
      </c>
      <c r="AH7" s="192">
        <f t="shared" si="4"/>
        <v>15</v>
      </c>
      <c r="AI7" s="614"/>
    </row>
    <row r="8" spans="1:35" ht="13.5" customHeight="1">
      <c r="A8" s="615"/>
      <c r="B8" s="186" t="s">
        <v>150</v>
      </c>
      <c r="C8" s="186">
        <f t="shared" si="5"/>
        <v>540</v>
      </c>
      <c r="D8" s="183">
        <v>1.1000000000000001</v>
      </c>
      <c r="E8" s="183">
        <v>229</v>
      </c>
      <c r="F8" s="107">
        <f t="shared" si="0"/>
        <v>136026</v>
      </c>
      <c r="G8" s="614"/>
      <c r="H8" s="590"/>
      <c r="I8" s="590"/>
      <c r="J8" s="590"/>
      <c r="K8" s="582"/>
      <c r="L8" s="582"/>
      <c r="M8" s="186">
        <v>36</v>
      </c>
      <c r="N8" s="186">
        <v>18</v>
      </c>
      <c r="O8" s="186">
        <f t="shared" si="1"/>
        <v>18</v>
      </c>
      <c r="P8" s="614"/>
      <c r="Q8" s="186">
        <v>1080</v>
      </c>
      <c r="S8">
        <f t="shared" si="2"/>
        <v>1080</v>
      </c>
      <c r="T8" s="615"/>
      <c r="U8" s="192" t="s">
        <v>150</v>
      </c>
      <c r="V8" s="192">
        <v>540</v>
      </c>
      <c r="W8" s="191">
        <v>1.1000000000000001</v>
      </c>
      <c r="X8" s="191">
        <v>229</v>
      </c>
      <c r="Y8" s="107">
        <f t="shared" si="3"/>
        <v>136026</v>
      </c>
      <c r="Z8" s="614"/>
      <c r="AA8" s="590"/>
      <c r="AB8" s="590"/>
      <c r="AC8" s="590"/>
      <c r="AD8" s="582"/>
      <c r="AE8" s="582"/>
      <c r="AF8" s="192">
        <v>36</v>
      </c>
      <c r="AG8" s="192">
        <v>18</v>
      </c>
      <c r="AH8" s="192">
        <f t="shared" si="4"/>
        <v>18</v>
      </c>
      <c r="AI8" s="614"/>
    </row>
    <row r="9" spans="1:35" ht="13.5" customHeight="1">
      <c r="A9" s="615"/>
      <c r="B9" s="186" t="s">
        <v>243</v>
      </c>
      <c r="C9" s="186">
        <v>474</v>
      </c>
      <c r="D9" s="183">
        <v>1.1000000000000001</v>
      </c>
      <c r="E9" s="183">
        <v>229</v>
      </c>
      <c r="F9" s="107">
        <f t="shared" si="0"/>
        <v>119400.60000000002</v>
      </c>
      <c r="G9" s="614"/>
      <c r="H9" s="590"/>
      <c r="I9" s="590"/>
      <c r="J9" s="590"/>
      <c r="K9" s="582"/>
      <c r="L9" s="582"/>
      <c r="M9" s="186">
        <v>31</v>
      </c>
      <c r="N9" s="186">
        <v>16</v>
      </c>
      <c r="O9" s="186">
        <f t="shared" si="1"/>
        <v>15</v>
      </c>
      <c r="P9" s="614"/>
      <c r="Q9" s="186">
        <v>924</v>
      </c>
      <c r="S9">
        <f t="shared" si="2"/>
        <v>924</v>
      </c>
      <c r="T9" s="615"/>
      <c r="U9" s="192" t="s">
        <v>243</v>
      </c>
      <c r="V9" s="192">
        <v>450</v>
      </c>
      <c r="W9" s="191">
        <v>1.1000000000000001</v>
      </c>
      <c r="X9" s="191">
        <v>229</v>
      </c>
      <c r="Y9" s="107">
        <f t="shared" si="3"/>
        <v>113355.00000000001</v>
      </c>
      <c r="Z9" s="614"/>
      <c r="AA9" s="590"/>
      <c r="AB9" s="590"/>
      <c r="AC9" s="590"/>
      <c r="AD9" s="582"/>
      <c r="AE9" s="582"/>
      <c r="AF9" s="192">
        <v>31</v>
      </c>
      <c r="AG9" s="192">
        <v>16</v>
      </c>
      <c r="AH9" s="192">
        <f t="shared" si="4"/>
        <v>15</v>
      </c>
      <c r="AI9" s="614"/>
    </row>
    <row r="10" spans="1:35">
      <c r="A10" s="614" t="s">
        <v>91</v>
      </c>
      <c r="B10" s="186" t="s">
        <v>95</v>
      </c>
      <c r="C10" s="186">
        <v>1056</v>
      </c>
      <c r="D10" s="183">
        <v>0.76</v>
      </c>
      <c r="E10" s="183">
        <v>229</v>
      </c>
      <c r="F10" s="107">
        <f t="shared" si="0"/>
        <v>183786.24000000002</v>
      </c>
      <c r="G10" s="614">
        <v>1240</v>
      </c>
      <c r="H10" s="590">
        <v>4133</v>
      </c>
      <c r="I10" s="590">
        <v>560</v>
      </c>
      <c r="J10" s="590">
        <f>G10/H10*SUM(C10:C12)*I10</f>
        <v>351148.31841277523</v>
      </c>
      <c r="K10" s="582">
        <f>J10+SUM(F10:F12)</f>
        <v>714891.91841277527</v>
      </c>
      <c r="L10" s="582">
        <f>K10/SUM(C10:C12)</f>
        <v>342.0535494797968</v>
      </c>
      <c r="M10" s="186">
        <v>69</v>
      </c>
      <c r="N10" s="186">
        <v>35</v>
      </c>
      <c r="O10" s="186">
        <f t="shared" si="1"/>
        <v>34</v>
      </c>
      <c r="P10" s="614">
        <v>1240</v>
      </c>
      <c r="Q10" s="186">
        <v>2076</v>
      </c>
      <c r="S10">
        <f t="shared" si="2"/>
        <v>2076</v>
      </c>
      <c r="T10" s="614" t="s">
        <v>91</v>
      </c>
      <c r="U10" s="192" t="s">
        <v>95</v>
      </c>
      <c r="V10" s="192">
        <v>1020</v>
      </c>
      <c r="W10" s="191">
        <v>0.76</v>
      </c>
      <c r="X10" s="191">
        <v>229</v>
      </c>
      <c r="Y10" s="107">
        <f t="shared" si="3"/>
        <v>177520.80000000002</v>
      </c>
      <c r="Z10" s="614">
        <v>1240</v>
      </c>
      <c r="AA10" s="590">
        <v>4133</v>
      </c>
      <c r="AB10" s="590">
        <v>560</v>
      </c>
      <c r="AC10" s="590">
        <f>Z10/AA10*SUM(V10:V12)*AB10</f>
        <v>343251.68158722471</v>
      </c>
      <c r="AD10" s="582">
        <f>AC10+SUM(Y10:Y12)</f>
        <v>698815.4015872248</v>
      </c>
      <c r="AE10" s="582">
        <f>AD10/SUM(V10:V12)</f>
        <v>342.05354947979674</v>
      </c>
      <c r="AF10" s="192">
        <v>69</v>
      </c>
      <c r="AG10" s="192">
        <v>35</v>
      </c>
      <c r="AH10" s="192">
        <f t="shared" si="4"/>
        <v>34</v>
      </c>
      <c r="AI10" s="614">
        <v>1240</v>
      </c>
    </row>
    <row r="11" spans="1:35">
      <c r="A11" s="614"/>
      <c r="B11" s="186" t="s">
        <v>94</v>
      </c>
      <c r="C11" s="186">
        <v>536.5</v>
      </c>
      <c r="D11" s="183">
        <v>0.76</v>
      </c>
      <c r="E11" s="183">
        <v>229</v>
      </c>
      <c r="F11" s="107">
        <f t="shared" si="0"/>
        <v>93372.46</v>
      </c>
      <c r="G11" s="614"/>
      <c r="H11" s="590"/>
      <c r="I11" s="590"/>
      <c r="J11" s="590"/>
      <c r="K11" s="582"/>
      <c r="L11" s="582"/>
      <c r="M11" s="186">
        <v>35</v>
      </c>
      <c r="N11" s="186">
        <v>18</v>
      </c>
      <c r="O11" s="186">
        <f t="shared" si="1"/>
        <v>17</v>
      </c>
      <c r="P11" s="614"/>
      <c r="Q11" s="186">
        <v>1046.5</v>
      </c>
      <c r="S11">
        <f t="shared" si="2"/>
        <v>1046.5</v>
      </c>
      <c r="T11" s="614"/>
      <c r="U11" s="192" t="s">
        <v>94</v>
      </c>
      <c r="V11" s="192">
        <v>510</v>
      </c>
      <c r="W11" s="191">
        <v>0.76</v>
      </c>
      <c r="X11" s="191">
        <v>229</v>
      </c>
      <c r="Y11" s="107">
        <f t="shared" si="3"/>
        <v>88760.400000000009</v>
      </c>
      <c r="Z11" s="614"/>
      <c r="AA11" s="590"/>
      <c r="AB11" s="590"/>
      <c r="AC11" s="590"/>
      <c r="AD11" s="582"/>
      <c r="AE11" s="582"/>
      <c r="AF11" s="192">
        <v>35</v>
      </c>
      <c r="AG11" s="192">
        <v>18</v>
      </c>
      <c r="AH11" s="192">
        <f t="shared" si="4"/>
        <v>17</v>
      </c>
      <c r="AI11" s="614"/>
    </row>
    <row r="12" spans="1:35">
      <c r="A12" s="614"/>
      <c r="B12" s="186" t="s">
        <v>96</v>
      </c>
      <c r="C12" s="186">
        <v>497.5</v>
      </c>
      <c r="D12" s="183">
        <v>0.76</v>
      </c>
      <c r="E12" s="183">
        <v>229</v>
      </c>
      <c r="F12" s="107">
        <f t="shared" si="0"/>
        <v>86584.900000000009</v>
      </c>
      <c r="G12" s="614"/>
      <c r="H12" s="590"/>
      <c r="I12" s="590"/>
      <c r="J12" s="590"/>
      <c r="K12" s="582"/>
      <c r="L12" s="582"/>
      <c r="M12" s="186">
        <v>34</v>
      </c>
      <c r="N12" s="186">
        <v>17</v>
      </c>
      <c r="O12" s="186">
        <f t="shared" si="1"/>
        <v>17</v>
      </c>
      <c r="P12" s="614"/>
      <c r="Q12" s="186">
        <v>1010.5</v>
      </c>
      <c r="S12">
        <f t="shared" si="2"/>
        <v>1010.5</v>
      </c>
      <c r="T12" s="614"/>
      <c r="U12" s="192" t="s">
        <v>96</v>
      </c>
      <c r="V12" s="192">
        <v>513</v>
      </c>
      <c r="W12" s="191">
        <v>0.76</v>
      </c>
      <c r="X12" s="191">
        <v>229</v>
      </c>
      <c r="Y12" s="107">
        <f t="shared" si="3"/>
        <v>89282.52</v>
      </c>
      <c r="Z12" s="614"/>
      <c r="AA12" s="590"/>
      <c r="AB12" s="590"/>
      <c r="AC12" s="590"/>
      <c r="AD12" s="582"/>
      <c r="AE12" s="582"/>
      <c r="AF12" s="192">
        <v>34</v>
      </c>
      <c r="AG12" s="192">
        <v>17</v>
      </c>
      <c r="AH12" s="192">
        <f t="shared" si="4"/>
        <v>17</v>
      </c>
      <c r="AI12" s="614"/>
    </row>
    <row r="13" spans="1:35">
      <c r="A13" s="614" t="s">
        <v>240</v>
      </c>
      <c r="B13" s="186" t="s">
        <v>101</v>
      </c>
      <c r="C13" s="186">
        <f t="shared" si="5"/>
        <v>1020</v>
      </c>
      <c r="D13" s="183">
        <v>1.1599999999999999</v>
      </c>
      <c r="E13" s="183">
        <v>229</v>
      </c>
      <c r="F13" s="107">
        <f t="shared" si="0"/>
        <v>270952.79999999993</v>
      </c>
      <c r="G13" s="614">
        <v>3630</v>
      </c>
      <c r="H13" s="590">
        <v>7246</v>
      </c>
      <c r="I13" s="590">
        <v>560</v>
      </c>
      <c r="J13" s="590">
        <f>G13/H13*SUM(C13:C19)*I13</f>
        <v>1021730.2787744962</v>
      </c>
      <c r="K13" s="582">
        <f>J13+SUM(F13:F19)</f>
        <v>1989191.1587744961</v>
      </c>
      <c r="L13" s="582">
        <f>K13/SUM(C13:C19)</f>
        <v>546.18098813138272</v>
      </c>
      <c r="M13" s="186">
        <v>67</v>
      </c>
      <c r="N13" s="186">
        <v>34</v>
      </c>
      <c r="O13" s="186">
        <f t="shared" si="1"/>
        <v>33</v>
      </c>
      <c r="P13" s="614">
        <v>3500</v>
      </c>
      <c r="Q13" s="186">
        <v>2025</v>
      </c>
      <c r="S13">
        <f t="shared" si="2"/>
        <v>2025</v>
      </c>
      <c r="T13" s="614" t="s">
        <v>240</v>
      </c>
      <c r="U13" s="192" t="s">
        <v>101</v>
      </c>
      <c r="V13" s="192">
        <v>1005</v>
      </c>
      <c r="W13" s="191">
        <v>1.1599999999999999</v>
      </c>
      <c r="X13" s="191">
        <v>229</v>
      </c>
      <c r="Y13" s="107">
        <f t="shared" si="3"/>
        <v>266968.2</v>
      </c>
      <c r="Z13" s="614">
        <v>3630</v>
      </c>
      <c r="AA13" s="590">
        <v>7246</v>
      </c>
      <c r="AB13" s="590">
        <v>560</v>
      </c>
      <c r="AC13" s="590">
        <f>Z13/AA13*SUM(V13:V19)*AB13</f>
        <v>1011069.7212255036</v>
      </c>
      <c r="AD13" s="582">
        <f>AC13+SUM(Y13:Y19)</f>
        <v>1968436.2812255037</v>
      </c>
      <c r="AE13" s="582">
        <f>AD13/SUM(V13:V19)</f>
        <v>546.18098813138283</v>
      </c>
      <c r="AF13" s="192">
        <v>67</v>
      </c>
      <c r="AG13" s="192">
        <v>34</v>
      </c>
      <c r="AH13" s="192">
        <f t="shared" si="4"/>
        <v>33</v>
      </c>
      <c r="AI13" s="614">
        <v>3500</v>
      </c>
    </row>
    <row r="14" spans="1:35">
      <c r="A14" s="614"/>
      <c r="B14" s="186" t="s">
        <v>95</v>
      </c>
      <c r="C14" s="186">
        <v>557.5</v>
      </c>
      <c r="D14" s="183">
        <v>1.1599999999999999</v>
      </c>
      <c r="E14" s="183">
        <v>229</v>
      </c>
      <c r="F14" s="107">
        <f t="shared" si="0"/>
        <v>148094.29999999999</v>
      </c>
      <c r="G14" s="614"/>
      <c r="H14" s="590"/>
      <c r="I14" s="590"/>
      <c r="J14" s="590"/>
      <c r="K14" s="582"/>
      <c r="L14" s="582"/>
      <c r="M14" s="186">
        <v>37</v>
      </c>
      <c r="N14" s="186">
        <v>19</v>
      </c>
      <c r="O14" s="186">
        <f t="shared" si="1"/>
        <v>18</v>
      </c>
      <c r="P14" s="614"/>
      <c r="Q14" s="186">
        <v>1097.5</v>
      </c>
      <c r="S14">
        <f t="shared" si="2"/>
        <v>1097.5</v>
      </c>
      <c r="T14" s="614"/>
      <c r="U14" s="192" t="s">
        <v>95</v>
      </c>
      <c r="V14" s="192">
        <v>540</v>
      </c>
      <c r="W14" s="191">
        <v>1.1599999999999999</v>
      </c>
      <c r="X14" s="191">
        <v>229</v>
      </c>
      <c r="Y14" s="107">
        <f t="shared" si="3"/>
        <v>143445.6</v>
      </c>
      <c r="Z14" s="614"/>
      <c r="AA14" s="590"/>
      <c r="AB14" s="590"/>
      <c r="AC14" s="590"/>
      <c r="AD14" s="582"/>
      <c r="AE14" s="582"/>
      <c r="AF14" s="192">
        <v>37</v>
      </c>
      <c r="AG14" s="192">
        <v>19</v>
      </c>
      <c r="AH14" s="192">
        <f t="shared" si="4"/>
        <v>18</v>
      </c>
      <c r="AI14" s="614"/>
    </row>
    <row r="15" spans="1:35">
      <c r="A15" s="614"/>
      <c r="B15" s="186" t="s">
        <v>160</v>
      </c>
      <c r="C15" s="186">
        <v>586.5</v>
      </c>
      <c r="D15" s="183">
        <v>1.1599999999999999</v>
      </c>
      <c r="E15" s="183">
        <v>229</v>
      </c>
      <c r="F15" s="107">
        <f t="shared" si="0"/>
        <v>155797.85999999999</v>
      </c>
      <c r="G15" s="614"/>
      <c r="H15" s="590"/>
      <c r="I15" s="590"/>
      <c r="J15" s="590"/>
      <c r="K15" s="582"/>
      <c r="L15" s="582"/>
      <c r="M15" s="186">
        <v>38</v>
      </c>
      <c r="N15" s="186">
        <v>19</v>
      </c>
      <c r="O15" s="186">
        <f t="shared" si="1"/>
        <v>19</v>
      </c>
      <c r="P15" s="614"/>
      <c r="Q15" s="186">
        <v>1128.5</v>
      </c>
      <c r="S15">
        <f t="shared" si="2"/>
        <v>1128.5</v>
      </c>
      <c r="T15" s="614"/>
      <c r="U15" s="192" t="s">
        <v>160</v>
      </c>
      <c r="V15" s="192">
        <v>542</v>
      </c>
      <c r="W15" s="191">
        <v>1.1599999999999999</v>
      </c>
      <c r="X15" s="191">
        <v>229</v>
      </c>
      <c r="Y15" s="107">
        <f t="shared" si="3"/>
        <v>143976.87999999998</v>
      </c>
      <c r="Z15" s="614"/>
      <c r="AA15" s="590"/>
      <c r="AB15" s="590"/>
      <c r="AC15" s="590"/>
      <c r="AD15" s="582"/>
      <c r="AE15" s="582"/>
      <c r="AF15" s="192">
        <v>38</v>
      </c>
      <c r="AG15" s="192">
        <v>19</v>
      </c>
      <c r="AH15" s="192">
        <f t="shared" si="4"/>
        <v>19</v>
      </c>
      <c r="AI15" s="614"/>
    </row>
    <row r="16" spans="1:35">
      <c r="A16" s="614"/>
      <c r="B16" s="186" t="s">
        <v>158</v>
      </c>
      <c r="C16" s="186">
        <v>458</v>
      </c>
      <c r="D16" s="183">
        <v>1.1599999999999999</v>
      </c>
      <c r="E16" s="183">
        <v>229</v>
      </c>
      <c r="F16" s="107">
        <f t="shared" si="0"/>
        <v>121663.12</v>
      </c>
      <c r="G16" s="614"/>
      <c r="H16" s="590"/>
      <c r="I16" s="590"/>
      <c r="J16" s="590"/>
      <c r="K16" s="582"/>
      <c r="L16" s="582"/>
      <c r="M16" s="186">
        <v>31</v>
      </c>
      <c r="N16" s="186">
        <v>16</v>
      </c>
      <c r="O16" s="186">
        <f t="shared" si="1"/>
        <v>15</v>
      </c>
      <c r="P16" s="614"/>
      <c r="Q16" s="186">
        <v>938</v>
      </c>
      <c r="S16">
        <f t="shared" si="2"/>
        <v>938</v>
      </c>
      <c r="T16" s="614"/>
      <c r="U16" s="192" t="s">
        <v>158</v>
      </c>
      <c r="V16" s="192">
        <v>480</v>
      </c>
      <c r="W16" s="191">
        <v>1.1599999999999999</v>
      </c>
      <c r="X16" s="191">
        <v>229</v>
      </c>
      <c r="Y16" s="107">
        <f t="shared" si="3"/>
        <v>127507.19999999998</v>
      </c>
      <c r="Z16" s="614"/>
      <c r="AA16" s="590"/>
      <c r="AB16" s="590"/>
      <c r="AC16" s="590"/>
      <c r="AD16" s="582"/>
      <c r="AE16" s="582"/>
      <c r="AF16" s="192">
        <v>31</v>
      </c>
      <c r="AG16" s="192">
        <v>16</v>
      </c>
      <c r="AH16" s="192">
        <f t="shared" si="4"/>
        <v>15</v>
      </c>
      <c r="AI16" s="614"/>
    </row>
    <row r="17" spans="1:35">
      <c r="A17" s="614"/>
      <c r="B17" s="186" t="s">
        <v>150</v>
      </c>
      <c r="C17" s="186">
        <v>720</v>
      </c>
      <c r="D17" s="183">
        <v>1.1599999999999999</v>
      </c>
      <c r="E17" s="183">
        <v>229</v>
      </c>
      <c r="F17" s="107">
        <f t="shared" si="0"/>
        <v>191260.79999999999</v>
      </c>
      <c r="G17" s="614"/>
      <c r="H17" s="590"/>
      <c r="I17" s="590"/>
      <c r="J17" s="590"/>
      <c r="K17" s="582"/>
      <c r="L17" s="582"/>
      <c r="M17" s="186">
        <v>48</v>
      </c>
      <c r="N17" s="186">
        <v>24</v>
      </c>
      <c r="O17" s="186">
        <f t="shared" si="1"/>
        <v>24</v>
      </c>
      <c r="P17" s="614"/>
      <c r="Q17" s="186">
        <v>1457</v>
      </c>
      <c r="S17">
        <f t="shared" si="2"/>
        <v>1457</v>
      </c>
      <c r="T17" s="614"/>
      <c r="U17" s="192" t="s">
        <v>150</v>
      </c>
      <c r="V17" s="192">
        <v>737</v>
      </c>
      <c r="W17" s="191">
        <v>1.1599999999999999</v>
      </c>
      <c r="X17" s="191">
        <v>229</v>
      </c>
      <c r="Y17" s="107">
        <f t="shared" si="3"/>
        <v>195776.68</v>
      </c>
      <c r="Z17" s="614"/>
      <c r="AA17" s="590"/>
      <c r="AB17" s="590"/>
      <c r="AC17" s="590"/>
      <c r="AD17" s="582"/>
      <c r="AE17" s="582"/>
      <c r="AF17" s="192">
        <v>48</v>
      </c>
      <c r="AG17" s="192">
        <v>24</v>
      </c>
      <c r="AH17" s="192">
        <f t="shared" si="4"/>
        <v>24</v>
      </c>
      <c r="AI17" s="614"/>
    </row>
    <row r="18" spans="1:35">
      <c r="A18" s="614"/>
      <c r="B18" s="186" t="s">
        <v>257</v>
      </c>
      <c r="C18" s="186">
        <f t="shared" si="5"/>
        <v>210</v>
      </c>
      <c r="D18" s="183">
        <v>1.1599999999999999</v>
      </c>
      <c r="E18" s="183">
        <v>229</v>
      </c>
      <c r="F18" s="107">
        <f t="shared" si="0"/>
        <v>55784.4</v>
      </c>
      <c r="G18" s="614"/>
      <c r="H18" s="590"/>
      <c r="I18" s="590"/>
      <c r="J18" s="590"/>
      <c r="K18" s="582"/>
      <c r="L18" s="582"/>
      <c r="M18" s="186">
        <v>14</v>
      </c>
      <c r="N18" s="186">
        <v>7</v>
      </c>
      <c r="O18" s="186">
        <f t="shared" si="1"/>
        <v>7</v>
      </c>
      <c r="P18" s="614"/>
      <c r="Q18" s="186">
        <v>420</v>
      </c>
      <c r="S18">
        <f t="shared" si="2"/>
        <v>420</v>
      </c>
      <c r="T18" s="614"/>
      <c r="U18" s="192" t="s">
        <v>257</v>
      </c>
      <c r="V18" s="192">
        <v>210</v>
      </c>
      <c r="W18" s="191">
        <v>1.1599999999999999</v>
      </c>
      <c r="X18" s="191">
        <v>229</v>
      </c>
      <c r="Y18" s="107">
        <f t="shared" si="3"/>
        <v>55784.4</v>
      </c>
      <c r="Z18" s="614"/>
      <c r="AA18" s="590"/>
      <c r="AB18" s="590"/>
      <c r="AC18" s="590"/>
      <c r="AD18" s="582"/>
      <c r="AE18" s="582"/>
      <c r="AF18" s="192">
        <v>14</v>
      </c>
      <c r="AG18" s="192">
        <v>7</v>
      </c>
      <c r="AH18" s="192">
        <f t="shared" si="4"/>
        <v>7</v>
      </c>
      <c r="AI18" s="614"/>
    </row>
    <row r="19" spans="1:35">
      <c r="A19" s="614"/>
      <c r="B19" s="186" t="s">
        <v>258</v>
      </c>
      <c r="C19" s="186">
        <f t="shared" si="5"/>
        <v>90</v>
      </c>
      <c r="D19" s="183">
        <v>1.1599999999999999</v>
      </c>
      <c r="E19" s="183">
        <v>229</v>
      </c>
      <c r="F19" s="107">
        <f t="shared" si="0"/>
        <v>23907.599999999999</v>
      </c>
      <c r="G19" s="614"/>
      <c r="H19" s="590"/>
      <c r="I19" s="590"/>
      <c r="J19" s="590"/>
      <c r="K19" s="582"/>
      <c r="L19" s="582"/>
      <c r="M19" s="186">
        <v>6</v>
      </c>
      <c r="N19" s="186">
        <v>3</v>
      </c>
      <c r="O19" s="186">
        <f t="shared" si="1"/>
        <v>3</v>
      </c>
      <c r="P19" s="614"/>
      <c r="Q19" s="186">
        <v>180</v>
      </c>
      <c r="S19">
        <f t="shared" si="2"/>
        <v>180</v>
      </c>
      <c r="T19" s="614"/>
      <c r="U19" s="192" t="s">
        <v>258</v>
      </c>
      <c r="V19" s="192">
        <v>90</v>
      </c>
      <c r="W19" s="191">
        <v>1.1599999999999999</v>
      </c>
      <c r="X19" s="191">
        <v>229</v>
      </c>
      <c r="Y19" s="107">
        <f t="shared" si="3"/>
        <v>23907.599999999999</v>
      </c>
      <c r="Z19" s="614"/>
      <c r="AA19" s="590"/>
      <c r="AB19" s="590"/>
      <c r="AC19" s="590"/>
      <c r="AD19" s="582"/>
      <c r="AE19" s="582"/>
      <c r="AF19" s="192">
        <v>6</v>
      </c>
      <c r="AG19" s="192">
        <v>3</v>
      </c>
      <c r="AH19" s="192">
        <f t="shared" si="4"/>
        <v>3</v>
      </c>
      <c r="AI19" s="614"/>
    </row>
    <row r="20" spans="1:35" ht="21" customHeight="1">
      <c r="A20" s="615" t="s">
        <v>259</v>
      </c>
      <c r="B20" s="186" t="s">
        <v>94</v>
      </c>
      <c r="C20" s="186">
        <v>146</v>
      </c>
      <c r="D20" s="183">
        <v>3</v>
      </c>
      <c r="E20" s="183">
        <v>229</v>
      </c>
      <c r="F20" s="107">
        <f t="shared" si="0"/>
        <v>100302</v>
      </c>
      <c r="G20" s="614">
        <v>860</v>
      </c>
      <c r="H20" s="590">
        <v>839</v>
      </c>
      <c r="I20" s="590">
        <v>560</v>
      </c>
      <c r="J20" s="590">
        <f>G20/H20*SUM(C20:C22)*I20</f>
        <v>231328.72467222885</v>
      </c>
      <c r="K20" s="582">
        <f>J20+SUM(F20:F22)</f>
        <v>497953.42467222887</v>
      </c>
      <c r="L20" s="582">
        <f>K20/SUM(C20:C22)</f>
        <v>1235.6164383926275</v>
      </c>
      <c r="M20" s="186">
        <v>10</v>
      </c>
      <c r="N20" s="186">
        <v>5</v>
      </c>
      <c r="O20" s="186">
        <f t="shared" si="1"/>
        <v>5</v>
      </c>
      <c r="P20" s="614">
        <v>560</v>
      </c>
      <c r="Q20" s="186">
        <v>296</v>
      </c>
      <c r="S20">
        <f t="shared" si="2"/>
        <v>296</v>
      </c>
      <c r="T20" s="615" t="s">
        <v>259</v>
      </c>
      <c r="U20" s="192" t="s">
        <v>94</v>
      </c>
      <c r="V20" s="192">
        <v>150</v>
      </c>
      <c r="W20" s="191">
        <v>3</v>
      </c>
      <c r="X20" s="191">
        <v>229</v>
      </c>
      <c r="Y20" s="107">
        <f t="shared" si="3"/>
        <v>103050</v>
      </c>
      <c r="Z20" s="614">
        <v>830</v>
      </c>
      <c r="AA20" s="590">
        <v>839</v>
      </c>
      <c r="AB20" s="590">
        <v>560</v>
      </c>
      <c r="AC20" s="590">
        <f>Z20/AA20*SUM(V20:V22)*AB20</f>
        <v>241540.88200238379</v>
      </c>
      <c r="AD20" s="582">
        <f>AC20+SUM(Y20:Y22)</f>
        <v>531660.9820023838</v>
      </c>
      <c r="AE20" s="582">
        <f>AD20/SUM(V20:V22)</f>
        <v>1219.4059220238159</v>
      </c>
      <c r="AF20" s="192">
        <v>10</v>
      </c>
      <c r="AG20" s="192">
        <v>5</v>
      </c>
      <c r="AH20" s="192">
        <f t="shared" si="4"/>
        <v>5</v>
      </c>
      <c r="AI20" s="614">
        <v>560</v>
      </c>
    </row>
    <row r="21" spans="1:35" ht="21" customHeight="1">
      <c r="A21" s="615"/>
      <c r="B21" s="186" t="s">
        <v>260</v>
      </c>
      <c r="C21" s="186">
        <v>108</v>
      </c>
      <c r="D21" s="183">
        <v>3</v>
      </c>
      <c r="E21" s="183">
        <v>229</v>
      </c>
      <c r="F21" s="107">
        <f t="shared" si="0"/>
        <v>74196</v>
      </c>
      <c r="G21" s="614"/>
      <c r="H21" s="590"/>
      <c r="I21" s="590"/>
      <c r="J21" s="590"/>
      <c r="K21" s="582"/>
      <c r="L21" s="582"/>
      <c r="M21" s="186">
        <v>9</v>
      </c>
      <c r="N21" s="186">
        <v>4</v>
      </c>
      <c r="O21" s="186">
        <f t="shared" si="1"/>
        <v>5</v>
      </c>
      <c r="P21" s="614"/>
      <c r="Q21" s="186">
        <v>257</v>
      </c>
      <c r="S21">
        <f t="shared" si="2"/>
        <v>257</v>
      </c>
      <c r="T21" s="615"/>
      <c r="U21" s="192" t="s">
        <v>260</v>
      </c>
      <c r="V21" s="192">
        <v>149</v>
      </c>
      <c r="W21" s="191">
        <v>3</v>
      </c>
      <c r="X21" s="191">
        <v>229</v>
      </c>
      <c r="Y21" s="107">
        <f t="shared" si="3"/>
        <v>102363</v>
      </c>
      <c r="Z21" s="614"/>
      <c r="AA21" s="590"/>
      <c r="AB21" s="590"/>
      <c r="AC21" s="590"/>
      <c r="AD21" s="582"/>
      <c r="AE21" s="582"/>
      <c r="AF21" s="192">
        <v>9</v>
      </c>
      <c r="AG21" s="192">
        <v>4</v>
      </c>
      <c r="AH21" s="192">
        <f t="shared" si="4"/>
        <v>5</v>
      </c>
      <c r="AI21" s="614"/>
    </row>
    <row r="22" spans="1:35" ht="21" customHeight="1">
      <c r="A22" s="615"/>
      <c r="B22" s="186" t="s">
        <v>96</v>
      </c>
      <c r="C22" s="186">
        <v>149</v>
      </c>
      <c r="D22" s="183">
        <v>2.7</v>
      </c>
      <c r="E22" s="183">
        <v>229</v>
      </c>
      <c r="F22" s="107">
        <f t="shared" si="0"/>
        <v>92126.7</v>
      </c>
      <c r="G22" s="614"/>
      <c r="H22" s="590"/>
      <c r="I22" s="590"/>
      <c r="J22" s="590"/>
      <c r="K22" s="582"/>
      <c r="L22" s="582"/>
      <c r="M22" s="186">
        <v>10</v>
      </c>
      <c r="N22" s="186">
        <v>5</v>
      </c>
      <c r="O22" s="186">
        <f t="shared" si="1"/>
        <v>5</v>
      </c>
      <c r="P22" s="614"/>
      <c r="Q22" s="186">
        <v>286</v>
      </c>
      <c r="S22">
        <f t="shared" si="2"/>
        <v>286</v>
      </c>
      <c r="T22" s="615"/>
      <c r="U22" s="192" t="s">
        <v>96</v>
      </c>
      <c r="V22" s="192">
        <v>137</v>
      </c>
      <c r="W22" s="191">
        <v>2.7</v>
      </c>
      <c r="X22" s="191">
        <v>229</v>
      </c>
      <c r="Y22" s="107">
        <f t="shared" si="3"/>
        <v>84707.1</v>
      </c>
      <c r="Z22" s="614"/>
      <c r="AA22" s="590"/>
      <c r="AB22" s="590"/>
      <c r="AC22" s="590"/>
      <c r="AD22" s="582"/>
      <c r="AE22" s="582"/>
      <c r="AF22" s="192">
        <v>10</v>
      </c>
      <c r="AG22" s="192">
        <v>5</v>
      </c>
      <c r="AH22" s="192">
        <f t="shared" si="4"/>
        <v>5</v>
      </c>
      <c r="AI22" s="614"/>
    </row>
    <row r="23" spans="1:35" ht="25.5" customHeight="1">
      <c r="A23" s="188" t="s">
        <v>147</v>
      </c>
      <c r="B23" s="186" t="s">
        <v>261</v>
      </c>
      <c r="C23" s="186">
        <v>139</v>
      </c>
      <c r="D23" s="183">
        <v>3</v>
      </c>
      <c r="E23" s="183">
        <v>229</v>
      </c>
      <c r="F23" s="107">
        <f t="shared" si="0"/>
        <v>95493</v>
      </c>
      <c r="G23" s="186">
        <v>230</v>
      </c>
      <c r="H23" s="183">
        <v>289</v>
      </c>
      <c r="I23" s="183">
        <v>560</v>
      </c>
      <c r="J23" s="183">
        <f>G23/H23*SUM(C23:C23)*I23</f>
        <v>61948.788927335634</v>
      </c>
      <c r="K23" s="182">
        <f>J23+SUM(F23)</f>
        <v>157441.78892733564</v>
      </c>
      <c r="L23" s="182">
        <f>K23/C23</f>
        <v>1132.6747404844291</v>
      </c>
      <c r="M23" s="189">
        <v>10</v>
      </c>
      <c r="N23" s="186">
        <v>5</v>
      </c>
      <c r="O23" s="186">
        <f t="shared" si="1"/>
        <v>5</v>
      </c>
      <c r="P23" s="186">
        <v>200</v>
      </c>
      <c r="Q23" s="186">
        <v>289</v>
      </c>
      <c r="S23">
        <f t="shared" si="2"/>
        <v>289</v>
      </c>
      <c r="T23" s="193" t="s">
        <v>147</v>
      </c>
      <c r="U23" s="192" t="s">
        <v>261</v>
      </c>
      <c r="V23" s="192">
        <v>150</v>
      </c>
      <c r="W23" s="191">
        <v>3</v>
      </c>
      <c r="X23" s="191">
        <v>229</v>
      </c>
      <c r="Y23" s="107">
        <f t="shared" si="3"/>
        <v>103050</v>
      </c>
      <c r="Z23" s="192">
        <v>293</v>
      </c>
      <c r="AA23" s="191">
        <v>289</v>
      </c>
      <c r="AB23" s="191">
        <v>560</v>
      </c>
      <c r="AC23" s="191">
        <f>Z23/AA23*SUM(V23:V23)*AB23</f>
        <v>85162.629757785457</v>
      </c>
      <c r="AD23" s="190">
        <f>AC23+SUM(Y23)</f>
        <v>188212.62975778547</v>
      </c>
      <c r="AE23" s="190">
        <f>AD23/V23</f>
        <v>1254.7508650519032</v>
      </c>
      <c r="AF23" s="189">
        <v>10</v>
      </c>
      <c r="AG23" s="192">
        <v>5</v>
      </c>
      <c r="AH23" s="192">
        <f t="shared" si="4"/>
        <v>5</v>
      </c>
      <c r="AI23" s="192">
        <v>200</v>
      </c>
    </row>
    <row r="24" spans="1:35" ht="25.5" customHeight="1">
      <c r="A24" s="188" t="s">
        <v>262</v>
      </c>
      <c r="B24" s="186" t="s">
        <v>261</v>
      </c>
      <c r="C24" s="186">
        <v>150</v>
      </c>
      <c r="D24" s="183">
        <v>3</v>
      </c>
      <c r="E24" s="183">
        <v>229</v>
      </c>
      <c r="F24" s="107">
        <f t="shared" si="0"/>
        <v>103050</v>
      </c>
      <c r="G24" s="186">
        <v>240</v>
      </c>
      <c r="H24" s="183">
        <v>281</v>
      </c>
      <c r="I24" s="183">
        <v>560</v>
      </c>
      <c r="J24" s="183">
        <f>G24/H24*SUM(C24:C24)*I24</f>
        <v>71743.77224199289</v>
      </c>
      <c r="K24" s="182">
        <f>J24+F24</f>
        <v>174793.77224199288</v>
      </c>
      <c r="L24" s="182">
        <f>K24/C24</f>
        <v>1165.2918149466191</v>
      </c>
      <c r="M24" s="189">
        <v>10</v>
      </c>
      <c r="N24" s="186">
        <v>5</v>
      </c>
      <c r="O24" s="186">
        <f t="shared" si="1"/>
        <v>5</v>
      </c>
      <c r="P24" s="186">
        <v>190</v>
      </c>
      <c r="Q24" s="186">
        <v>281</v>
      </c>
      <c r="S24">
        <f t="shared" si="2"/>
        <v>281</v>
      </c>
      <c r="T24" s="193" t="s">
        <v>262</v>
      </c>
      <c r="U24" s="192" t="s">
        <v>261</v>
      </c>
      <c r="V24" s="192">
        <v>131</v>
      </c>
      <c r="W24" s="191">
        <v>3</v>
      </c>
      <c r="X24" s="191">
        <v>229</v>
      </c>
      <c r="Y24" s="107">
        <f t="shared" si="3"/>
        <v>89997</v>
      </c>
      <c r="Z24" s="192">
        <v>287</v>
      </c>
      <c r="AA24" s="191">
        <v>281</v>
      </c>
      <c r="AB24" s="191">
        <v>560</v>
      </c>
      <c r="AC24" s="191">
        <f>Z24/AA24*SUM(V24:V24)*AB24</f>
        <v>74926.405693950161</v>
      </c>
      <c r="AD24" s="190">
        <f>AC24+Y24</f>
        <v>164923.40569395016</v>
      </c>
      <c r="AE24" s="190">
        <f>AD24/V24</f>
        <v>1258.9572953736654</v>
      </c>
      <c r="AF24" s="189">
        <v>10</v>
      </c>
      <c r="AG24" s="192">
        <v>5</v>
      </c>
      <c r="AH24" s="192">
        <f t="shared" si="4"/>
        <v>5</v>
      </c>
      <c r="AI24" s="192">
        <v>190</v>
      </c>
    </row>
    <row r="25" spans="1:35" ht="13.5" customHeight="1">
      <c r="A25" s="615" t="s">
        <v>263</v>
      </c>
      <c r="B25" s="186" t="s">
        <v>261</v>
      </c>
      <c r="C25" s="186">
        <v>136</v>
      </c>
      <c r="D25" s="183">
        <v>3</v>
      </c>
      <c r="E25" s="183">
        <v>229</v>
      </c>
      <c r="F25" s="107">
        <f t="shared" si="0"/>
        <v>93432</v>
      </c>
      <c r="G25" s="614">
        <v>1280</v>
      </c>
      <c r="H25" s="590">
        <v>1246</v>
      </c>
      <c r="I25" s="590">
        <v>560</v>
      </c>
      <c r="J25" s="590">
        <f>G25/H25*SUM(C25:C28)*I25</f>
        <v>370480.89887640445</v>
      </c>
      <c r="K25" s="582">
        <f>J25+SUM(F25:F28)</f>
        <v>803565.69887640444</v>
      </c>
      <c r="L25" s="582">
        <f>K25/SUM(C25:C28)</f>
        <v>1247.772824342243</v>
      </c>
      <c r="M25" s="189">
        <v>10</v>
      </c>
      <c r="N25" s="186">
        <v>5</v>
      </c>
      <c r="O25" s="186">
        <f t="shared" si="1"/>
        <v>5</v>
      </c>
      <c r="P25" s="614">
        <v>830</v>
      </c>
      <c r="Q25" s="186">
        <v>286</v>
      </c>
      <c r="S25">
        <f t="shared" si="2"/>
        <v>286</v>
      </c>
      <c r="T25" s="615" t="s">
        <v>263</v>
      </c>
      <c r="U25" s="192" t="s">
        <v>261</v>
      </c>
      <c r="V25" s="192">
        <v>150</v>
      </c>
      <c r="W25" s="191">
        <v>3</v>
      </c>
      <c r="X25" s="191">
        <v>229</v>
      </c>
      <c r="Y25" s="107">
        <f t="shared" si="3"/>
        <v>103050</v>
      </c>
      <c r="Z25" s="614">
        <v>1200</v>
      </c>
      <c r="AA25" s="590">
        <v>1246</v>
      </c>
      <c r="AB25" s="590">
        <v>560</v>
      </c>
      <c r="AC25" s="590">
        <f>Z25/AA25*SUM(V25:V28)*AB25</f>
        <v>324674.15730337077</v>
      </c>
      <c r="AD25" s="582">
        <f>AC25+SUM(Y25:Y28)</f>
        <v>725882.15730337077</v>
      </c>
      <c r="AE25" s="582">
        <f>AD25/SUM(V25:V28)</f>
        <v>1205.7843144574265</v>
      </c>
      <c r="AF25" s="189">
        <v>10</v>
      </c>
      <c r="AG25" s="192">
        <v>5</v>
      </c>
      <c r="AH25" s="192">
        <f t="shared" si="4"/>
        <v>5</v>
      </c>
      <c r="AI25" s="614">
        <v>830</v>
      </c>
    </row>
    <row r="26" spans="1:35" ht="13.5" customHeight="1">
      <c r="A26" s="615"/>
      <c r="B26" s="186" t="s">
        <v>94</v>
      </c>
      <c r="C26" s="186">
        <v>222</v>
      </c>
      <c r="D26" s="183">
        <v>3</v>
      </c>
      <c r="E26" s="183">
        <v>229</v>
      </c>
      <c r="F26" s="107">
        <f t="shared" si="0"/>
        <v>152514</v>
      </c>
      <c r="G26" s="614"/>
      <c r="H26" s="590"/>
      <c r="I26" s="590"/>
      <c r="J26" s="590"/>
      <c r="K26" s="582"/>
      <c r="L26" s="582"/>
      <c r="M26" s="189">
        <v>12</v>
      </c>
      <c r="N26" s="186">
        <v>6</v>
      </c>
      <c r="O26" s="186">
        <f t="shared" si="1"/>
        <v>6</v>
      </c>
      <c r="P26" s="614"/>
      <c r="Q26" s="186">
        <v>372</v>
      </c>
      <c r="S26">
        <f t="shared" si="2"/>
        <v>372</v>
      </c>
      <c r="T26" s="615"/>
      <c r="U26" s="192" t="s">
        <v>94</v>
      </c>
      <c r="V26" s="192">
        <v>150</v>
      </c>
      <c r="W26" s="191">
        <v>3</v>
      </c>
      <c r="X26" s="191">
        <v>229</v>
      </c>
      <c r="Y26" s="107">
        <f t="shared" si="3"/>
        <v>103050</v>
      </c>
      <c r="Z26" s="614"/>
      <c r="AA26" s="590"/>
      <c r="AB26" s="590"/>
      <c r="AC26" s="590"/>
      <c r="AD26" s="582"/>
      <c r="AE26" s="582"/>
      <c r="AF26" s="189">
        <v>12</v>
      </c>
      <c r="AG26" s="192">
        <v>6</v>
      </c>
      <c r="AH26" s="192">
        <f t="shared" si="4"/>
        <v>6</v>
      </c>
      <c r="AI26" s="614"/>
    </row>
    <row r="27" spans="1:35" ht="13.5" customHeight="1">
      <c r="A27" s="615"/>
      <c r="B27" s="186" t="s">
        <v>95</v>
      </c>
      <c r="C27" s="186">
        <v>150</v>
      </c>
      <c r="D27" s="183">
        <v>3</v>
      </c>
      <c r="E27" s="183">
        <v>229</v>
      </c>
      <c r="F27" s="107">
        <f t="shared" si="0"/>
        <v>103050</v>
      </c>
      <c r="G27" s="614"/>
      <c r="H27" s="590"/>
      <c r="I27" s="590"/>
      <c r="J27" s="590"/>
      <c r="K27" s="582"/>
      <c r="L27" s="582"/>
      <c r="M27" s="189">
        <v>9</v>
      </c>
      <c r="N27" s="186">
        <v>5</v>
      </c>
      <c r="O27" s="186">
        <f t="shared" si="1"/>
        <v>4</v>
      </c>
      <c r="P27" s="614"/>
      <c r="Q27" s="186">
        <v>272</v>
      </c>
      <c r="S27">
        <f t="shared" si="2"/>
        <v>272</v>
      </c>
      <c r="T27" s="615"/>
      <c r="U27" s="192" t="s">
        <v>95</v>
      </c>
      <c r="V27" s="192">
        <v>122</v>
      </c>
      <c r="W27" s="191">
        <v>3</v>
      </c>
      <c r="X27" s="191">
        <v>229</v>
      </c>
      <c r="Y27" s="107">
        <f t="shared" si="3"/>
        <v>83814</v>
      </c>
      <c r="Z27" s="614"/>
      <c r="AA27" s="590"/>
      <c r="AB27" s="590"/>
      <c r="AC27" s="590"/>
      <c r="AD27" s="582"/>
      <c r="AE27" s="582"/>
      <c r="AF27" s="189">
        <v>9</v>
      </c>
      <c r="AG27" s="192">
        <v>5</v>
      </c>
      <c r="AH27" s="192">
        <f t="shared" si="4"/>
        <v>4</v>
      </c>
      <c r="AI27" s="614"/>
    </row>
    <row r="28" spans="1:35" ht="13.5" customHeight="1">
      <c r="A28" s="615"/>
      <c r="B28" s="186" t="s">
        <v>96</v>
      </c>
      <c r="C28" s="186">
        <v>136</v>
      </c>
      <c r="D28" s="183">
        <v>2.7</v>
      </c>
      <c r="E28" s="183">
        <v>229</v>
      </c>
      <c r="F28" s="107">
        <f t="shared" si="0"/>
        <v>84088.800000000017</v>
      </c>
      <c r="G28" s="614"/>
      <c r="H28" s="590"/>
      <c r="I28" s="590"/>
      <c r="J28" s="590"/>
      <c r="K28" s="582"/>
      <c r="L28" s="582"/>
      <c r="M28" s="189">
        <v>11</v>
      </c>
      <c r="N28" s="186">
        <v>6</v>
      </c>
      <c r="O28" s="186">
        <f t="shared" si="1"/>
        <v>5</v>
      </c>
      <c r="P28" s="614"/>
      <c r="Q28" s="186">
        <v>316</v>
      </c>
      <c r="S28">
        <f t="shared" si="2"/>
        <v>316</v>
      </c>
      <c r="T28" s="615"/>
      <c r="U28" s="192" t="s">
        <v>96</v>
      </c>
      <c r="V28" s="192">
        <v>180</v>
      </c>
      <c r="W28" s="191">
        <v>2.7</v>
      </c>
      <c r="X28" s="191">
        <v>229</v>
      </c>
      <c r="Y28" s="107">
        <f t="shared" si="3"/>
        <v>111294.00000000001</v>
      </c>
      <c r="Z28" s="614"/>
      <c r="AA28" s="590"/>
      <c r="AB28" s="590"/>
      <c r="AC28" s="590"/>
      <c r="AD28" s="582"/>
      <c r="AE28" s="582"/>
      <c r="AF28" s="189">
        <v>11</v>
      </c>
      <c r="AG28" s="192">
        <v>6</v>
      </c>
      <c r="AH28" s="192">
        <f t="shared" si="4"/>
        <v>5</v>
      </c>
      <c r="AI28" s="614"/>
    </row>
    <row r="29" spans="1:35" ht="13.5" customHeight="1">
      <c r="A29" s="614">
        <v>21146</v>
      </c>
      <c r="B29" s="186" t="s">
        <v>94</v>
      </c>
      <c r="C29" s="186">
        <v>226.5</v>
      </c>
      <c r="D29" s="183">
        <v>1.82</v>
      </c>
      <c r="E29" s="183">
        <v>229</v>
      </c>
      <c r="F29" s="107">
        <f t="shared" si="0"/>
        <v>94400.67</v>
      </c>
      <c r="G29" s="614">
        <v>1100</v>
      </c>
      <c r="H29" s="590">
        <v>1292</v>
      </c>
      <c r="I29" s="590">
        <v>560</v>
      </c>
      <c r="J29" s="590">
        <f>G29/H29*SUM(C29:C31)*I29</f>
        <v>218126.93498452014</v>
      </c>
      <c r="K29" s="582">
        <f>J29+SUM(F29:F31)</f>
        <v>411345.68498452014</v>
      </c>
      <c r="L29" s="582">
        <f>K29/SUM(C29:C31)</f>
        <v>899.11625133228449</v>
      </c>
      <c r="M29" s="189">
        <v>21</v>
      </c>
      <c r="N29" s="186">
        <v>7</v>
      </c>
      <c r="O29" s="186">
        <f t="shared" si="1"/>
        <v>14</v>
      </c>
      <c r="P29" s="614">
        <v>800</v>
      </c>
      <c r="Q29" s="186">
        <v>648.5</v>
      </c>
      <c r="S29">
        <f t="shared" si="2"/>
        <v>648.5</v>
      </c>
      <c r="T29" s="614">
        <v>21146</v>
      </c>
      <c r="U29" s="192" t="s">
        <v>94</v>
      </c>
      <c r="V29" s="192">
        <v>422</v>
      </c>
      <c r="W29" s="191">
        <v>1.82</v>
      </c>
      <c r="X29" s="191">
        <v>229</v>
      </c>
      <c r="Y29" s="107">
        <f t="shared" si="3"/>
        <v>175881.16</v>
      </c>
      <c r="Z29" s="614">
        <v>900</v>
      </c>
      <c r="AA29" s="590">
        <v>1292</v>
      </c>
      <c r="AB29" s="590">
        <v>560</v>
      </c>
      <c r="AC29" s="590">
        <f>Z29/AA29*SUM(V29:V31)*AB29</f>
        <v>325532.50773993816</v>
      </c>
      <c r="AD29" s="582">
        <f>AC29+SUM(Y29:Y31)</f>
        <v>678144.41773993813</v>
      </c>
      <c r="AE29" s="582">
        <f>AD29/SUM(V29:V31)</f>
        <v>812.63561143192112</v>
      </c>
      <c r="AF29" s="189">
        <v>21</v>
      </c>
      <c r="AG29" s="192">
        <v>7</v>
      </c>
      <c r="AH29" s="192">
        <f t="shared" si="4"/>
        <v>14</v>
      </c>
      <c r="AI29" s="614">
        <v>800</v>
      </c>
    </row>
    <row r="30" spans="1:35" ht="13.5" customHeight="1">
      <c r="A30" s="614"/>
      <c r="B30" s="186" t="s">
        <v>96</v>
      </c>
      <c r="C30" s="186">
        <v>120</v>
      </c>
      <c r="D30" s="183">
        <v>1.82</v>
      </c>
      <c r="E30" s="183">
        <v>229</v>
      </c>
      <c r="F30" s="107">
        <f t="shared" si="0"/>
        <v>50013.599999999999</v>
      </c>
      <c r="G30" s="614"/>
      <c r="H30" s="590"/>
      <c r="I30" s="590"/>
      <c r="J30" s="590"/>
      <c r="K30" s="582"/>
      <c r="L30" s="582"/>
      <c r="M30" s="189">
        <v>11</v>
      </c>
      <c r="N30" s="186">
        <v>4</v>
      </c>
      <c r="O30" s="186">
        <f t="shared" si="1"/>
        <v>7</v>
      </c>
      <c r="P30" s="614"/>
      <c r="Q30" s="186">
        <v>322.5</v>
      </c>
      <c r="S30">
        <f t="shared" si="2"/>
        <v>322.5</v>
      </c>
      <c r="T30" s="614"/>
      <c r="U30" s="192" t="s">
        <v>96</v>
      </c>
      <c r="V30" s="192">
        <v>202.5</v>
      </c>
      <c r="W30" s="191">
        <v>1.82</v>
      </c>
      <c r="X30" s="191">
        <v>229</v>
      </c>
      <c r="Y30" s="107">
        <f t="shared" si="3"/>
        <v>84397.95</v>
      </c>
      <c r="Z30" s="614"/>
      <c r="AA30" s="590"/>
      <c r="AB30" s="590"/>
      <c r="AC30" s="590"/>
      <c r="AD30" s="582"/>
      <c r="AE30" s="582"/>
      <c r="AF30" s="189">
        <v>11</v>
      </c>
      <c r="AG30" s="192">
        <v>4</v>
      </c>
      <c r="AH30" s="192">
        <f t="shared" si="4"/>
        <v>7</v>
      </c>
      <c r="AI30" s="614"/>
    </row>
    <row r="31" spans="1:35" ht="13.5" customHeight="1">
      <c r="A31" s="614"/>
      <c r="B31" s="186" t="s">
        <v>95</v>
      </c>
      <c r="C31" s="186">
        <v>111</v>
      </c>
      <c r="D31" s="183">
        <v>1.92</v>
      </c>
      <c r="E31" s="183">
        <v>229</v>
      </c>
      <c r="F31" s="107">
        <f t="shared" si="0"/>
        <v>48804.480000000003</v>
      </c>
      <c r="G31" s="614"/>
      <c r="H31" s="590"/>
      <c r="I31" s="590"/>
      <c r="J31" s="590"/>
      <c r="K31" s="582"/>
      <c r="L31" s="582"/>
      <c r="M31" s="189">
        <v>11</v>
      </c>
      <c r="N31" s="186">
        <v>4</v>
      </c>
      <c r="O31" s="186">
        <f t="shared" si="1"/>
        <v>7</v>
      </c>
      <c r="P31" s="614"/>
      <c r="Q31" s="186">
        <v>321</v>
      </c>
      <c r="S31">
        <f t="shared" si="2"/>
        <v>321</v>
      </c>
      <c r="T31" s="614"/>
      <c r="U31" s="192" t="s">
        <v>95</v>
      </c>
      <c r="V31" s="192">
        <v>210</v>
      </c>
      <c r="W31" s="191">
        <v>1.92</v>
      </c>
      <c r="X31" s="191">
        <v>229</v>
      </c>
      <c r="Y31" s="107">
        <f t="shared" si="3"/>
        <v>92332.800000000003</v>
      </c>
      <c r="Z31" s="614"/>
      <c r="AA31" s="590"/>
      <c r="AB31" s="590"/>
      <c r="AC31" s="590"/>
      <c r="AD31" s="582"/>
      <c r="AE31" s="582"/>
      <c r="AF31" s="189">
        <v>11</v>
      </c>
      <c r="AG31" s="192">
        <v>4</v>
      </c>
      <c r="AH31" s="192">
        <f t="shared" si="4"/>
        <v>7</v>
      </c>
      <c r="AI31" s="614"/>
    </row>
    <row r="32" spans="1:35" ht="13.5" customHeight="1">
      <c r="A32" s="614" t="s">
        <v>264</v>
      </c>
      <c r="B32" s="186" t="s">
        <v>94</v>
      </c>
      <c r="C32" s="186">
        <v>569</v>
      </c>
      <c r="D32" s="183">
        <v>1.5</v>
      </c>
      <c r="E32" s="183">
        <v>229</v>
      </c>
      <c r="F32" s="107">
        <f t="shared" si="0"/>
        <v>195451.5</v>
      </c>
      <c r="G32" s="614">
        <v>1100</v>
      </c>
      <c r="H32" s="590">
        <v>2157</v>
      </c>
      <c r="I32" s="590">
        <v>560</v>
      </c>
      <c r="J32" s="590">
        <f>G32/H32*SUM(C32:C34)*I32</f>
        <v>319566.06397774688</v>
      </c>
      <c r="K32" s="582">
        <f>J32+SUM(F32:F34)</f>
        <v>708980.56397774688</v>
      </c>
      <c r="L32" s="582">
        <f>K32/SUM(C32:C34)</f>
        <v>633.58406074865673</v>
      </c>
      <c r="M32" s="189">
        <v>37</v>
      </c>
      <c r="N32" s="186">
        <v>19</v>
      </c>
      <c r="O32" s="186">
        <f t="shared" si="1"/>
        <v>18</v>
      </c>
      <c r="P32" s="614">
        <v>1300</v>
      </c>
      <c r="Q32" s="186">
        <v>1094</v>
      </c>
      <c r="S32">
        <f t="shared" si="2"/>
        <v>1094</v>
      </c>
      <c r="T32" s="614" t="s">
        <v>264</v>
      </c>
      <c r="U32" s="192" t="s">
        <v>94</v>
      </c>
      <c r="V32" s="192">
        <v>525</v>
      </c>
      <c r="W32" s="191">
        <v>1.5</v>
      </c>
      <c r="X32" s="191">
        <v>229</v>
      </c>
      <c r="Y32" s="107">
        <f t="shared" si="3"/>
        <v>180337.5</v>
      </c>
      <c r="Z32" s="614">
        <v>1300</v>
      </c>
      <c r="AA32" s="590">
        <v>2157</v>
      </c>
      <c r="AB32" s="590">
        <v>560</v>
      </c>
      <c r="AC32" s="590">
        <f>Z32/AA32*SUM(V32:V34)*AB32</f>
        <v>350331.01529902645</v>
      </c>
      <c r="AD32" s="582">
        <f>AC32+SUM(Y32:Y34)</f>
        <v>711693.01529902639</v>
      </c>
      <c r="AE32" s="582">
        <f>AD32/SUM(V32:V34)</f>
        <v>685.63874306264586</v>
      </c>
      <c r="AF32" s="189">
        <v>37</v>
      </c>
      <c r="AG32" s="192">
        <v>19</v>
      </c>
      <c r="AH32" s="192">
        <f t="shared" si="4"/>
        <v>18</v>
      </c>
      <c r="AI32" s="614">
        <v>1300</v>
      </c>
    </row>
    <row r="33" spans="1:35" ht="13.5" customHeight="1">
      <c r="A33" s="614"/>
      <c r="B33" s="186" t="s">
        <v>96</v>
      </c>
      <c r="C33" s="186">
        <v>330</v>
      </c>
      <c r="D33" s="183">
        <v>1.5</v>
      </c>
      <c r="E33" s="183">
        <v>229</v>
      </c>
      <c r="F33" s="107">
        <f t="shared" si="0"/>
        <v>113355</v>
      </c>
      <c r="G33" s="614"/>
      <c r="H33" s="590"/>
      <c r="I33" s="590"/>
      <c r="J33" s="590"/>
      <c r="K33" s="582"/>
      <c r="L33" s="582"/>
      <c r="M33" s="189">
        <v>21</v>
      </c>
      <c r="N33" s="186">
        <v>11</v>
      </c>
      <c r="O33" s="186">
        <f t="shared" si="1"/>
        <v>10</v>
      </c>
      <c r="P33" s="614"/>
      <c r="Q33" s="186">
        <v>633</v>
      </c>
      <c r="S33">
        <f t="shared" si="2"/>
        <v>633</v>
      </c>
      <c r="T33" s="614"/>
      <c r="U33" s="192" t="s">
        <v>96</v>
      </c>
      <c r="V33" s="192">
        <v>303</v>
      </c>
      <c r="W33" s="191">
        <v>1.5</v>
      </c>
      <c r="X33" s="191">
        <v>229</v>
      </c>
      <c r="Y33" s="107">
        <f t="shared" si="3"/>
        <v>104080.5</v>
      </c>
      <c r="Z33" s="614"/>
      <c r="AA33" s="590"/>
      <c r="AB33" s="590"/>
      <c r="AC33" s="590"/>
      <c r="AD33" s="582"/>
      <c r="AE33" s="582"/>
      <c r="AF33" s="189">
        <v>21</v>
      </c>
      <c r="AG33" s="192">
        <v>11</v>
      </c>
      <c r="AH33" s="192">
        <f t="shared" si="4"/>
        <v>10</v>
      </c>
      <c r="AI33" s="614"/>
    </row>
    <row r="34" spans="1:35" ht="13.5" customHeight="1">
      <c r="A34" s="614"/>
      <c r="B34" s="186" t="s">
        <v>95</v>
      </c>
      <c r="C34" s="186">
        <v>220</v>
      </c>
      <c r="D34" s="183">
        <v>1.6</v>
      </c>
      <c r="E34" s="183">
        <v>229</v>
      </c>
      <c r="F34" s="107">
        <f t="shared" si="0"/>
        <v>80608</v>
      </c>
      <c r="G34" s="614"/>
      <c r="H34" s="590"/>
      <c r="I34" s="590"/>
      <c r="J34" s="590"/>
      <c r="K34" s="582"/>
      <c r="L34" s="582"/>
      <c r="M34" s="189">
        <v>14</v>
      </c>
      <c r="N34" s="186">
        <v>7</v>
      </c>
      <c r="O34" s="186">
        <f t="shared" si="1"/>
        <v>7</v>
      </c>
      <c r="P34" s="614"/>
      <c r="Q34" s="186">
        <v>430</v>
      </c>
      <c r="S34">
        <f t="shared" si="2"/>
        <v>430</v>
      </c>
      <c r="T34" s="614"/>
      <c r="U34" s="192" t="s">
        <v>95</v>
      </c>
      <c r="V34" s="192">
        <v>210</v>
      </c>
      <c r="W34" s="191">
        <v>1.6</v>
      </c>
      <c r="X34" s="191">
        <v>229</v>
      </c>
      <c r="Y34" s="107">
        <f t="shared" si="3"/>
        <v>76944</v>
      </c>
      <c r="Z34" s="614"/>
      <c r="AA34" s="590"/>
      <c r="AB34" s="590"/>
      <c r="AC34" s="590"/>
      <c r="AD34" s="582"/>
      <c r="AE34" s="582"/>
      <c r="AF34" s="189">
        <v>14</v>
      </c>
      <c r="AG34" s="192">
        <v>7</v>
      </c>
      <c r="AH34" s="192">
        <f t="shared" si="4"/>
        <v>7</v>
      </c>
      <c r="AI34" s="614"/>
    </row>
    <row r="35" spans="1:35" ht="15.75">
      <c r="A35" s="98" t="s">
        <v>4</v>
      </c>
      <c r="B35" s="98"/>
      <c r="C35" s="183">
        <f>SUM(C3:C34)</f>
        <v>12307.5</v>
      </c>
      <c r="D35" s="98"/>
      <c r="E35" s="98"/>
      <c r="F35" s="97">
        <f>SUM(F3:F34)</f>
        <v>3903114.9299999997</v>
      </c>
      <c r="G35" s="187">
        <f>SUM(G3:G32)</f>
        <v>12800</v>
      </c>
      <c r="H35" s="98">
        <f>SUM(H3:H34)</f>
        <v>25465</v>
      </c>
      <c r="I35" s="98"/>
      <c r="J35" s="98">
        <f>SUM(J3:J34)</f>
        <v>3473682.7690695021</v>
      </c>
      <c r="K35" s="190">
        <f>SUM(K3:K34)</f>
        <v>7376797.6990695018</v>
      </c>
      <c r="L35" s="98"/>
      <c r="M35" s="187">
        <f>SUM(M3:M34)</f>
        <v>851</v>
      </c>
      <c r="N35" s="187">
        <f>SUM(N3:N34)</f>
        <v>412</v>
      </c>
      <c r="O35" s="187">
        <f>SUM(O3:O34)</f>
        <v>439</v>
      </c>
      <c r="P35" s="187">
        <f>SUM(P3:P32)</f>
        <v>12800</v>
      </c>
      <c r="Q35">
        <f>SUM(Q3:Q34)</f>
        <v>25465</v>
      </c>
      <c r="T35" s="98" t="s">
        <v>4</v>
      </c>
      <c r="U35" s="98"/>
      <c r="V35" s="191">
        <f>SUM(V3:V34)</f>
        <v>13157.5</v>
      </c>
      <c r="W35" s="98"/>
      <c r="X35" s="98"/>
      <c r="Y35" s="97">
        <f>SUM(Y3:Y34)</f>
        <v>4162741.3900000006</v>
      </c>
      <c r="Z35" s="187">
        <f>SUM(Z3:Z34)</f>
        <v>12800</v>
      </c>
      <c r="AA35" s="98">
        <f>SUM(AA3:AA34)</f>
        <v>25465</v>
      </c>
      <c r="AB35" s="98"/>
      <c r="AC35" s="98">
        <f>SUM(AC3:AC34)</f>
        <v>3676080.0124071818</v>
      </c>
      <c r="AD35" s="97">
        <f>SUM(AD3:AD34)</f>
        <v>7838821.4024071805</v>
      </c>
      <c r="AE35" s="98"/>
      <c r="AF35" s="187">
        <f>SUM(AF3:AF34)</f>
        <v>851</v>
      </c>
      <c r="AG35" s="187">
        <f>SUM(AG3:AG34)</f>
        <v>412</v>
      </c>
      <c r="AH35" s="187">
        <f>SUM(AH3:AH34)</f>
        <v>439</v>
      </c>
      <c r="AI35" s="187">
        <f>SUM(AI3:AI32)</f>
        <v>12800</v>
      </c>
    </row>
    <row r="36" spans="1:35" ht="15.75">
      <c r="E36" s="613" t="s">
        <v>232</v>
      </c>
      <c r="F36" s="613"/>
      <c r="G36" s="194">
        <f>K35*1%</f>
        <v>73767.976990695024</v>
      </c>
      <c r="I36" s="557" t="s">
        <v>233</v>
      </c>
      <c r="J36" s="557"/>
      <c r="K36" s="7">
        <f>K35+G36</f>
        <v>7450565.6760601969</v>
      </c>
    </row>
    <row r="40" spans="1:35" ht="15" customHeight="1"/>
  </sheetData>
  <mergeCells count="132">
    <mergeCell ref="AI29:AI31"/>
    <mergeCell ref="T32:T34"/>
    <mergeCell ref="Z32:Z34"/>
    <mergeCell ref="AA32:AA34"/>
    <mergeCell ref="AB32:AB34"/>
    <mergeCell ref="AC32:AC34"/>
    <mergeCell ref="AD32:AD34"/>
    <mergeCell ref="AE32:AE34"/>
    <mergeCell ref="AI32:AI34"/>
    <mergeCell ref="T29:T31"/>
    <mergeCell ref="Z29:Z31"/>
    <mergeCell ref="AA29:AA31"/>
    <mergeCell ref="AB29:AB31"/>
    <mergeCell ref="AC29:AC31"/>
    <mergeCell ref="AI20:AI22"/>
    <mergeCell ref="T25:T28"/>
    <mergeCell ref="Z25:Z28"/>
    <mergeCell ref="AA25:AA28"/>
    <mergeCell ref="AB25:AB28"/>
    <mergeCell ref="AC25:AC28"/>
    <mergeCell ref="AD25:AD28"/>
    <mergeCell ref="AE25:AE28"/>
    <mergeCell ref="AI25:AI28"/>
    <mergeCell ref="T20:T22"/>
    <mergeCell ref="Z20:Z22"/>
    <mergeCell ref="AA20:AA22"/>
    <mergeCell ref="AB20:AB22"/>
    <mergeCell ref="AC20:AC22"/>
    <mergeCell ref="AI10:AI12"/>
    <mergeCell ref="T13:T19"/>
    <mergeCell ref="Z13:Z19"/>
    <mergeCell ref="AA13:AA19"/>
    <mergeCell ref="AB13:AB19"/>
    <mergeCell ref="AC13:AC19"/>
    <mergeCell ref="AD13:AD19"/>
    <mergeCell ref="AE13:AE19"/>
    <mergeCell ref="AI13:AI19"/>
    <mergeCell ref="T10:T12"/>
    <mergeCell ref="Z10:Z12"/>
    <mergeCell ref="AA10:AA12"/>
    <mergeCell ref="AB10:AB12"/>
    <mergeCell ref="AC10:AC12"/>
    <mergeCell ref="AI3:AI4"/>
    <mergeCell ref="T6:T9"/>
    <mergeCell ref="Z6:Z9"/>
    <mergeCell ref="AA6:AA9"/>
    <mergeCell ref="AB6:AB9"/>
    <mergeCell ref="AC6:AC9"/>
    <mergeCell ref="AD6:AD9"/>
    <mergeCell ref="AE6:AE9"/>
    <mergeCell ref="AI6:AI9"/>
    <mergeCell ref="T1:AF1"/>
    <mergeCell ref="T3:T4"/>
    <mergeCell ref="Z3:Z4"/>
    <mergeCell ref="AA3:AA4"/>
    <mergeCell ref="AB3:AB4"/>
    <mergeCell ref="AC3:AC4"/>
    <mergeCell ref="AD3:AD4"/>
    <mergeCell ref="AE3:AE4"/>
    <mergeCell ref="P29:P31"/>
    <mergeCell ref="AD10:AD12"/>
    <mergeCell ref="AE10:AE12"/>
    <mergeCell ref="AD20:AD22"/>
    <mergeCell ref="AE20:AE22"/>
    <mergeCell ref="AD29:AD31"/>
    <mergeCell ref="AE29:AE31"/>
    <mergeCell ref="P32:P34"/>
    <mergeCell ref="P3:P4"/>
    <mergeCell ref="P6:P9"/>
    <mergeCell ref="P10:P12"/>
    <mergeCell ref="P13:P19"/>
    <mergeCell ref="P20:P22"/>
    <mergeCell ref="P25:P28"/>
    <mergeCell ref="K29:K31"/>
    <mergeCell ref="K32:K34"/>
    <mergeCell ref="L3:L4"/>
    <mergeCell ref="L6:L9"/>
    <mergeCell ref="L10:L12"/>
    <mergeCell ref="L13:L19"/>
    <mergeCell ref="L20:L22"/>
    <mergeCell ref="L25:L28"/>
    <mergeCell ref="L29:L31"/>
    <mergeCell ref="L32:L34"/>
    <mergeCell ref="K3:K4"/>
    <mergeCell ref="K6:K9"/>
    <mergeCell ref="K10:K12"/>
    <mergeCell ref="K13:K19"/>
    <mergeCell ref="K20:K22"/>
    <mergeCell ref="K25:K28"/>
    <mergeCell ref="A10:A12"/>
    <mergeCell ref="A13:A19"/>
    <mergeCell ref="H6:H9"/>
    <mergeCell ref="A3:A4"/>
    <mergeCell ref="I32:I34"/>
    <mergeCell ref="J3:J4"/>
    <mergeCell ref="J6:J9"/>
    <mergeCell ref="J10:J12"/>
    <mergeCell ref="J13:J19"/>
    <mergeCell ref="J20:J22"/>
    <mergeCell ref="J25:J28"/>
    <mergeCell ref="J29:J31"/>
    <mergeCell ref="J32:J34"/>
    <mergeCell ref="I6:I9"/>
    <mergeCell ref="I10:I12"/>
    <mergeCell ref="I13:I19"/>
    <mergeCell ref="I20:I22"/>
    <mergeCell ref="I25:I28"/>
    <mergeCell ref="I29:I31"/>
    <mergeCell ref="E36:F36"/>
    <mergeCell ref="I36:J36"/>
    <mergeCell ref="A1:M1"/>
    <mergeCell ref="H3:H4"/>
    <mergeCell ref="I3:I4"/>
    <mergeCell ref="H10:H12"/>
    <mergeCell ref="H13:H19"/>
    <mergeCell ref="H20:H22"/>
    <mergeCell ref="H25:H28"/>
    <mergeCell ref="H29:H31"/>
    <mergeCell ref="H32:H34"/>
    <mergeCell ref="A29:A31"/>
    <mergeCell ref="A32:A34"/>
    <mergeCell ref="G3:G4"/>
    <mergeCell ref="G6:G9"/>
    <mergeCell ref="G10:G12"/>
    <mergeCell ref="G13:G19"/>
    <mergeCell ref="G20:G22"/>
    <mergeCell ref="G25:G28"/>
    <mergeCell ref="G29:G31"/>
    <mergeCell ref="G32:G34"/>
    <mergeCell ref="A20:A22"/>
    <mergeCell ref="A25:A28"/>
    <mergeCell ref="A6:A9"/>
  </mergeCells>
  <pageMargins left="0.14000000000000001" right="0.2" top="0.18" bottom="0.14000000000000001" header="0.18" footer="0.16"/>
  <pageSetup orientation="landscape" r:id="rId1"/>
  <ignoredErrors>
    <ignoredError sqref="L32 L29 L25 L20 L3 L6 L10 L1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R1" workbookViewId="0">
      <selection activeCell="U16" sqref="U16:U21"/>
    </sheetView>
  </sheetViews>
  <sheetFormatPr defaultRowHeight="15"/>
  <cols>
    <col min="3" max="3" width="8.42578125" customWidth="1"/>
    <col min="4" max="4" width="7.42578125" customWidth="1"/>
    <col min="10" max="10" width="9.85546875" customWidth="1"/>
    <col min="11" max="11" width="9.5703125" customWidth="1"/>
    <col min="12" max="12" width="7.42578125" customWidth="1"/>
    <col min="13" max="13" width="6.7109375" customWidth="1"/>
    <col min="14" max="14" width="8.42578125" customWidth="1"/>
    <col min="15" max="15" width="6.42578125" customWidth="1"/>
    <col min="16" max="16" width="8.140625" customWidth="1"/>
    <col min="33" max="33" width="8" customWidth="1"/>
    <col min="35" max="35" width="8.42578125" customWidth="1"/>
  </cols>
  <sheetData>
    <row r="1" spans="1:37" ht="28.5">
      <c r="A1" s="605" t="s">
        <v>265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213">
        <v>44936</v>
      </c>
      <c r="O1" s="203"/>
      <c r="P1" s="214"/>
      <c r="U1" s="605" t="s">
        <v>274</v>
      </c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  <c r="AH1" s="159">
        <v>44977</v>
      </c>
      <c r="AI1" s="1"/>
      <c r="AJ1" s="1"/>
    </row>
    <row r="2" spans="1:37" ht="47.2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251</v>
      </c>
      <c r="O2" s="105" t="s">
        <v>250</v>
      </c>
      <c r="P2" s="105" t="s">
        <v>275</v>
      </c>
      <c r="U2" s="100" t="s">
        <v>0</v>
      </c>
      <c r="V2" s="100" t="s">
        <v>140</v>
      </c>
      <c r="W2" s="101" t="s">
        <v>123</v>
      </c>
      <c r="X2" s="101" t="s">
        <v>2</v>
      </c>
      <c r="Y2" s="101" t="s">
        <v>3</v>
      </c>
      <c r="Z2" s="102" t="s">
        <v>4</v>
      </c>
      <c r="AA2" s="103" t="s">
        <v>5</v>
      </c>
      <c r="AB2" s="103" t="s">
        <v>6</v>
      </c>
      <c r="AC2" s="103" t="s">
        <v>7</v>
      </c>
      <c r="AD2" s="101" t="s">
        <v>8</v>
      </c>
      <c r="AE2" s="104" t="s">
        <v>9</v>
      </c>
      <c r="AF2" s="103" t="s">
        <v>10</v>
      </c>
      <c r="AG2" s="105" t="s">
        <v>125</v>
      </c>
      <c r="AH2" s="105" t="s">
        <v>126</v>
      </c>
      <c r="AI2" s="105" t="s">
        <v>250</v>
      </c>
      <c r="AJ2" s="105" t="s">
        <v>275</v>
      </c>
    </row>
    <row r="3" spans="1:37">
      <c r="A3" s="624" t="s">
        <v>104</v>
      </c>
      <c r="B3" s="206" t="s">
        <v>94</v>
      </c>
      <c r="C3" s="206">
        <v>786.5</v>
      </c>
      <c r="D3" s="195">
        <v>1.3</v>
      </c>
      <c r="E3" s="205">
        <v>292</v>
      </c>
      <c r="F3" s="107">
        <f>C3*D3*E3</f>
        <v>298555.40000000002</v>
      </c>
      <c r="G3" s="624">
        <v>2900</v>
      </c>
      <c r="H3" s="590">
        <v>5782</v>
      </c>
      <c r="I3" s="590">
        <v>650</v>
      </c>
      <c r="J3" s="590">
        <f>G3/H3*SUM(C3:C10)*I3</f>
        <v>854639.83050847449</v>
      </c>
      <c r="K3" s="582">
        <f>J3+SUM(F3:F10)</f>
        <v>1883443.4305084746</v>
      </c>
      <c r="L3" s="582">
        <f>K3/SUM(C3:C10)</f>
        <v>718.46020618290083</v>
      </c>
      <c r="M3" s="211">
        <v>55</v>
      </c>
      <c r="N3" s="212">
        <v>28</v>
      </c>
      <c r="O3" s="206">
        <f>M3-N3</f>
        <v>27</v>
      </c>
      <c r="P3" s="206">
        <v>1594.5</v>
      </c>
      <c r="R3">
        <f t="shared" ref="R3:R35" si="0">P3-W3</f>
        <v>786.5</v>
      </c>
      <c r="U3" s="624" t="s">
        <v>104</v>
      </c>
      <c r="V3" s="210" t="s">
        <v>94</v>
      </c>
      <c r="W3" s="210">
        <v>808</v>
      </c>
      <c r="X3" s="195">
        <v>1.3</v>
      </c>
      <c r="Y3" s="209">
        <v>292</v>
      </c>
      <c r="Z3" s="107">
        <f>W3*X3*Y3</f>
        <v>306716.80000000005</v>
      </c>
      <c r="AA3" s="614">
        <v>2900</v>
      </c>
      <c r="AB3" s="590">
        <v>5782</v>
      </c>
      <c r="AC3" s="590">
        <v>650</v>
      </c>
      <c r="AD3" s="590">
        <f>AA3/AB3*SUM(W3:W10)*AC3</f>
        <v>1030360.1694915254</v>
      </c>
      <c r="AE3" s="582">
        <f>AD3+SUM(Z3:Z10)</f>
        <v>2276878.9694915256</v>
      </c>
      <c r="AF3" s="582">
        <f>AE3/SUM(W3:W10)</f>
        <v>720.41732937558152</v>
      </c>
      <c r="AG3" s="211">
        <v>55</v>
      </c>
      <c r="AH3" s="210">
        <v>28</v>
      </c>
      <c r="AI3" s="210">
        <f>AG3-AH3</f>
        <v>27</v>
      </c>
      <c r="AJ3" s="210">
        <v>1594.5</v>
      </c>
      <c r="AK3" s="212"/>
    </row>
    <row r="4" spans="1:37">
      <c r="A4" s="624"/>
      <c r="B4" s="206" t="s">
        <v>270</v>
      </c>
      <c r="C4" s="206">
        <v>285.5</v>
      </c>
      <c r="D4" s="195">
        <v>1.3</v>
      </c>
      <c r="E4" s="209">
        <v>292</v>
      </c>
      <c r="F4" s="107">
        <f t="shared" ref="F4:F35" si="1">C4*D4*E4</f>
        <v>108375.8</v>
      </c>
      <c r="G4" s="624"/>
      <c r="H4" s="590"/>
      <c r="I4" s="590"/>
      <c r="J4" s="590"/>
      <c r="K4" s="582"/>
      <c r="L4" s="582"/>
      <c r="M4" s="211">
        <v>22</v>
      </c>
      <c r="N4" s="212">
        <v>11</v>
      </c>
      <c r="O4" s="206">
        <f t="shared" ref="O4:O35" si="2">M4-N4</f>
        <v>11</v>
      </c>
      <c r="P4" s="206">
        <v>615.5</v>
      </c>
      <c r="R4">
        <f t="shared" si="0"/>
        <v>285.5</v>
      </c>
      <c r="U4" s="624"/>
      <c r="V4" s="210" t="s">
        <v>270</v>
      </c>
      <c r="W4" s="210">
        <v>330</v>
      </c>
      <c r="X4" s="195">
        <v>1.3</v>
      </c>
      <c r="Y4" s="209">
        <v>292</v>
      </c>
      <c r="Z4" s="107">
        <f t="shared" ref="Z4:Z35" si="3">W4*X4*Y4</f>
        <v>125268</v>
      </c>
      <c r="AA4" s="614"/>
      <c r="AB4" s="590"/>
      <c r="AC4" s="590"/>
      <c r="AD4" s="590"/>
      <c r="AE4" s="582"/>
      <c r="AF4" s="582"/>
      <c r="AG4" s="211">
        <v>22</v>
      </c>
      <c r="AH4" s="210">
        <v>11</v>
      </c>
      <c r="AI4" s="210">
        <f t="shared" ref="AI4:AI35" si="4">AG4-AH4</f>
        <v>11</v>
      </c>
      <c r="AJ4" s="210">
        <v>615.5</v>
      </c>
      <c r="AK4" s="212"/>
    </row>
    <row r="5" spans="1:37">
      <c r="A5" s="624"/>
      <c r="B5" s="206" t="s">
        <v>96</v>
      </c>
      <c r="C5" s="206">
        <v>396</v>
      </c>
      <c r="D5" s="195">
        <v>1.3</v>
      </c>
      <c r="E5" s="209">
        <v>292</v>
      </c>
      <c r="F5" s="107">
        <f t="shared" si="1"/>
        <v>150321.60000000001</v>
      </c>
      <c r="G5" s="624"/>
      <c r="H5" s="590"/>
      <c r="I5" s="590"/>
      <c r="J5" s="590"/>
      <c r="K5" s="582"/>
      <c r="L5" s="582"/>
      <c r="M5" s="211">
        <v>29</v>
      </c>
      <c r="N5" s="212">
        <v>15</v>
      </c>
      <c r="O5" s="206">
        <f t="shared" si="2"/>
        <v>14</v>
      </c>
      <c r="P5" s="206">
        <v>816</v>
      </c>
      <c r="R5">
        <f t="shared" si="0"/>
        <v>396</v>
      </c>
      <c r="U5" s="624"/>
      <c r="V5" s="210" t="s">
        <v>96</v>
      </c>
      <c r="W5" s="210">
        <v>420</v>
      </c>
      <c r="X5" s="195">
        <v>1.3</v>
      </c>
      <c r="Y5" s="209">
        <v>292</v>
      </c>
      <c r="Z5" s="107">
        <f t="shared" si="3"/>
        <v>159432</v>
      </c>
      <c r="AA5" s="614"/>
      <c r="AB5" s="590"/>
      <c r="AC5" s="590"/>
      <c r="AD5" s="590"/>
      <c r="AE5" s="582"/>
      <c r="AF5" s="582"/>
      <c r="AG5" s="211">
        <v>29</v>
      </c>
      <c r="AH5" s="210">
        <v>15</v>
      </c>
      <c r="AI5" s="210">
        <f t="shared" si="4"/>
        <v>14</v>
      </c>
      <c r="AJ5" s="210">
        <v>816</v>
      </c>
      <c r="AK5" s="212"/>
    </row>
    <row r="6" spans="1:37" ht="15" customHeight="1">
      <c r="A6" s="624"/>
      <c r="B6" s="206" t="s">
        <v>95</v>
      </c>
      <c r="C6" s="206">
        <v>393</v>
      </c>
      <c r="D6" s="195">
        <v>1.4</v>
      </c>
      <c r="E6" s="209">
        <v>292</v>
      </c>
      <c r="F6" s="107">
        <f t="shared" si="1"/>
        <v>160658.4</v>
      </c>
      <c r="G6" s="624"/>
      <c r="H6" s="590"/>
      <c r="I6" s="590"/>
      <c r="J6" s="590"/>
      <c r="K6" s="582"/>
      <c r="L6" s="582"/>
      <c r="M6" s="211">
        <v>29</v>
      </c>
      <c r="N6" s="212">
        <v>15</v>
      </c>
      <c r="O6" s="206">
        <f t="shared" si="2"/>
        <v>14</v>
      </c>
      <c r="P6" s="206">
        <v>813</v>
      </c>
      <c r="R6">
        <f t="shared" si="0"/>
        <v>393</v>
      </c>
      <c r="U6" s="624"/>
      <c r="V6" s="210" t="s">
        <v>95</v>
      </c>
      <c r="W6" s="210">
        <v>420</v>
      </c>
      <c r="X6" s="195">
        <v>1.4</v>
      </c>
      <c r="Y6" s="209">
        <v>292</v>
      </c>
      <c r="Z6" s="107">
        <f t="shared" si="3"/>
        <v>171696</v>
      </c>
      <c r="AA6" s="614"/>
      <c r="AB6" s="590"/>
      <c r="AC6" s="590"/>
      <c r="AD6" s="590"/>
      <c r="AE6" s="582"/>
      <c r="AF6" s="582"/>
      <c r="AG6" s="211">
        <v>29</v>
      </c>
      <c r="AH6" s="210">
        <v>15</v>
      </c>
      <c r="AI6" s="210">
        <f t="shared" si="4"/>
        <v>14</v>
      </c>
      <c r="AJ6" s="210">
        <v>813</v>
      </c>
      <c r="AK6" s="212"/>
    </row>
    <row r="7" spans="1:37">
      <c r="A7" s="624"/>
      <c r="B7" s="206" t="s">
        <v>102</v>
      </c>
      <c r="C7" s="206">
        <v>270</v>
      </c>
      <c r="D7" s="195">
        <v>1.4</v>
      </c>
      <c r="E7" s="209">
        <v>292</v>
      </c>
      <c r="F7" s="107">
        <f t="shared" si="1"/>
        <v>110376</v>
      </c>
      <c r="G7" s="624"/>
      <c r="H7" s="590"/>
      <c r="I7" s="590"/>
      <c r="J7" s="590"/>
      <c r="K7" s="582"/>
      <c r="L7" s="582"/>
      <c r="M7" s="211">
        <v>18</v>
      </c>
      <c r="N7" s="212">
        <v>9</v>
      </c>
      <c r="O7" s="206">
        <f t="shared" si="2"/>
        <v>9</v>
      </c>
      <c r="P7" s="206">
        <v>553</v>
      </c>
      <c r="R7">
        <f t="shared" si="0"/>
        <v>270</v>
      </c>
      <c r="U7" s="624"/>
      <c r="V7" s="210" t="s">
        <v>102</v>
      </c>
      <c r="W7" s="210">
        <v>283</v>
      </c>
      <c r="X7" s="195">
        <v>1.4</v>
      </c>
      <c r="Y7" s="209">
        <v>292</v>
      </c>
      <c r="Z7" s="107">
        <f t="shared" si="3"/>
        <v>115690.4</v>
      </c>
      <c r="AA7" s="614"/>
      <c r="AB7" s="590"/>
      <c r="AC7" s="590"/>
      <c r="AD7" s="590"/>
      <c r="AE7" s="582"/>
      <c r="AF7" s="582"/>
      <c r="AG7" s="211">
        <v>18</v>
      </c>
      <c r="AH7" s="210">
        <v>9</v>
      </c>
      <c r="AI7" s="210">
        <f t="shared" si="4"/>
        <v>9</v>
      </c>
      <c r="AJ7" s="210">
        <v>553</v>
      </c>
      <c r="AK7" s="212"/>
    </row>
    <row r="8" spans="1:37">
      <c r="A8" s="624"/>
      <c r="B8" s="206" t="s">
        <v>99</v>
      </c>
      <c r="C8" s="206">
        <v>133</v>
      </c>
      <c r="D8" s="195">
        <v>1.4</v>
      </c>
      <c r="E8" s="209">
        <v>292</v>
      </c>
      <c r="F8" s="107">
        <f t="shared" si="1"/>
        <v>54370.399999999994</v>
      </c>
      <c r="G8" s="624"/>
      <c r="H8" s="590"/>
      <c r="I8" s="590"/>
      <c r="J8" s="590"/>
      <c r="K8" s="582"/>
      <c r="L8" s="582"/>
      <c r="M8" s="211">
        <v>16</v>
      </c>
      <c r="N8" s="212">
        <v>6</v>
      </c>
      <c r="O8" s="206">
        <f t="shared" si="2"/>
        <v>10</v>
      </c>
      <c r="P8" s="206">
        <v>433</v>
      </c>
      <c r="R8">
        <f t="shared" si="0"/>
        <v>133</v>
      </c>
      <c r="U8" s="624"/>
      <c r="V8" s="210" t="s">
        <v>99</v>
      </c>
      <c r="W8" s="210">
        <v>300</v>
      </c>
      <c r="X8" s="195">
        <v>1.4</v>
      </c>
      <c r="Y8" s="209">
        <v>292</v>
      </c>
      <c r="Z8" s="107">
        <f t="shared" si="3"/>
        <v>122640</v>
      </c>
      <c r="AA8" s="614"/>
      <c r="AB8" s="590"/>
      <c r="AC8" s="590"/>
      <c r="AD8" s="590"/>
      <c r="AE8" s="582"/>
      <c r="AF8" s="582"/>
      <c r="AG8" s="211">
        <v>16</v>
      </c>
      <c r="AH8" s="210">
        <v>6</v>
      </c>
      <c r="AI8" s="210">
        <f t="shared" si="4"/>
        <v>10</v>
      </c>
      <c r="AJ8" s="210">
        <v>433</v>
      </c>
      <c r="AK8" s="212"/>
    </row>
    <row r="9" spans="1:37">
      <c r="A9" s="624"/>
      <c r="B9" s="206" t="s">
        <v>190</v>
      </c>
      <c r="C9" s="206">
        <v>111</v>
      </c>
      <c r="D9" s="195">
        <v>1.4</v>
      </c>
      <c r="E9" s="209">
        <v>292</v>
      </c>
      <c r="F9" s="107">
        <f t="shared" si="1"/>
        <v>45376.799999999996</v>
      </c>
      <c r="G9" s="624"/>
      <c r="H9" s="590"/>
      <c r="I9" s="590"/>
      <c r="J9" s="590"/>
      <c r="K9" s="582"/>
      <c r="L9" s="582"/>
      <c r="M9" s="211">
        <v>16</v>
      </c>
      <c r="N9" s="212">
        <v>6</v>
      </c>
      <c r="O9" s="206">
        <f t="shared" si="2"/>
        <v>10</v>
      </c>
      <c r="P9" s="206">
        <v>411</v>
      </c>
      <c r="R9">
        <f t="shared" si="0"/>
        <v>111</v>
      </c>
      <c r="U9" s="624"/>
      <c r="V9" s="210" t="s">
        <v>190</v>
      </c>
      <c r="W9" s="210">
        <v>300</v>
      </c>
      <c r="X9" s="195">
        <v>1.4</v>
      </c>
      <c r="Y9" s="209">
        <v>292</v>
      </c>
      <c r="Z9" s="107">
        <f t="shared" si="3"/>
        <v>122640</v>
      </c>
      <c r="AA9" s="614"/>
      <c r="AB9" s="590"/>
      <c r="AC9" s="590"/>
      <c r="AD9" s="590"/>
      <c r="AE9" s="582"/>
      <c r="AF9" s="582"/>
      <c r="AG9" s="211">
        <v>16</v>
      </c>
      <c r="AH9" s="210">
        <v>6</v>
      </c>
      <c r="AI9" s="210">
        <f t="shared" si="4"/>
        <v>10</v>
      </c>
      <c r="AJ9" s="210">
        <v>411</v>
      </c>
      <c r="AK9" s="212"/>
    </row>
    <row r="10" spans="1:37">
      <c r="A10" s="624"/>
      <c r="B10" s="206" t="s">
        <v>103</v>
      </c>
      <c r="C10" s="206">
        <v>246.5</v>
      </c>
      <c r="D10" s="195">
        <v>1.4</v>
      </c>
      <c r="E10" s="209">
        <v>292</v>
      </c>
      <c r="F10" s="107">
        <f t="shared" si="1"/>
        <v>100769.2</v>
      </c>
      <c r="G10" s="624"/>
      <c r="H10" s="590"/>
      <c r="I10" s="590"/>
      <c r="J10" s="590"/>
      <c r="K10" s="582"/>
      <c r="L10" s="582"/>
      <c r="M10" s="211">
        <v>20</v>
      </c>
      <c r="N10" s="212">
        <v>10</v>
      </c>
      <c r="O10" s="206">
        <f t="shared" si="2"/>
        <v>10</v>
      </c>
      <c r="P10" s="206">
        <v>546</v>
      </c>
      <c r="R10">
        <f t="shared" si="0"/>
        <v>246.5</v>
      </c>
      <c r="U10" s="624"/>
      <c r="V10" s="210" t="s">
        <v>103</v>
      </c>
      <c r="W10" s="210">
        <v>299.5</v>
      </c>
      <c r="X10" s="195">
        <v>1.4</v>
      </c>
      <c r="Y10" s="209">
        <v>292</v>
      </c>
      <c r="Z10" s="107">
        <f t="shared" si="3"/>
        <v>122435.59999999999</v>
      </c>
      <c r="AA10" s="614"/>
      <c r="AB10" s="590"/>
      <c r="AC10" s="590"/>
      <c r="AD10" s="590"/>
      <c r="AE10" s="582"/>
      <c r="AF10" s="582"/>
      <c r="AG10" s="211">
        <v>20</v>
      </c>
      <c r="AH10" s="210">
        <v>10</v>
      </c>
      <c r="AI10" s="210">
        <f t="shared" si="4"/>
        <v>10</v>
      </c>
      <c r="AJ10" s="210">
        <v>546</v>
      </c>
      <c r="AK10" s="212"/>
    </row>
    <row r="11" spans="1:37">
      <c r="A11" s="196" t="s">
        <v>105</v>
      </c>
      <c r="B11" s="197" t="s">
        <v>273</v>
      </c>
      <c r="C11" s="197">
        <v>1020</v>
      </c>
      <c r="D11" s="198">
        <v>1</v>
      </c>
      <c r="E11" s="209">
        <v>292</v>
      </c>
      <c r="F11" s="107">
        <f t="shared" si="1"/>
        <v>297840</v>
      </c>
      <c r="G11" s="206">
        <v>712.8</v>
      </c>
      <c r="H11" s="205">
        <v>1980</v>
      </c>
      <c r="I11" s="205">
        <v>650</v>
      </c>
      <c r="J11" s="205">
        <f>G11/H11*SUM(C11:C11)*I11</f>
        <v>238680</v>
      </c>
      <c r="K11" s="204">
        <f>J11+SUM(F11)</f>
        <v>536520</v>
      </c>
      <c r="L11" s="204">
        <f>K11/C11</f>
        <v>526</v>
      </c>
      <c r="M11" s="211">
        <v>66</v>
      </c>
      <c r="N11" s="212">
        <v>33</v>
      </c>
      <c r="O11" s="206">
        <f t="shared" si="2"/>
        <v>33</v>
      </c>
      <c r="P11" s="197">
        <v>1980</v>
      </c>
      <c r="R11">
        <f t="shared" si="0"/>
        <v>1020</v>
      </c>
      <c r="U11" s="196" t="s">
        <v>105</v>
      </c>
      <c r="V11" s="197" t="s">
        <v>273</v>
      </c>
      <c r="W11" s="197">
        <v>960</v>
      </c>
      <c r="X11" s="198">
        <v>1</v>
      </c>
      <c r="Y11" s="209">
        <v>292</v>
      </c>
      <c r="Z11" s="107">
        <f t="shared" si="3"/>
        <v>280320</v>
      </c>
      <c r="AA11" s="199">
        <v>712.8</v>
      </c>
      <c r="AB11" s="209">
        <v>1980</v>
      </c>
      <c r="AC11" s="209">
        <v>650</v>
      </c>
      <c r="AD11" s="98">
        <f>AA11/AB11*SUM(W11:W11)*AC11</f>
        <v>224639.99999999997</v>
      </c>
      <c r="AE11" s="97">
        <f>AD11+SUM(Z11)</f>
        <v>504960</v>
      </c>
      <c r="AF11" s="208">
        <f>AE11/W11</f>
        <v>526</v>
      </c>
      <c r="AG11" s="211">
        <v>66</v>
      </c>
      <c r="AH11" s="210">
        <v>34</v>
      </c>
      <c r="AI11" s="210">
        <v>32</v>
      </c>
      <c r="AJ11" s="197">
        <v>1980</v>
      </c>
      <c r="AK11" s="218"/>
    </row>
    <row r="12" spans="1:37">
      <c r="A12" s="616" t="s">
        <v>267</v>
      </c>
      <c r="B12" s="206" t="s">
        <v>101</v>
      </c>
      <c r="C12" s="206">
        <v>276</v>
      </c>
      <c r="D12" s="195">
        <v>1.9</v>
      </c>
      <c r="E12" s="209">
        <v>292</v>
      </c>
      <c r="F12" s="107">
        <f t="shared" si="1"/>
        <v>153124.79999999999</v>
      </c>
      <c r="G12" s="624">
        <v>700</v>
      </c>
      <c r="H12" s="590">
        <v>1681</v>
      </c>
      <c r="I12" s="590">
        <v>650</v>
      </c>
      <c r="J12" s="590">
        <f>G12/H12*SUM(C12:C15)*I12</f>
        <v>243875.66924449732</v>
      </c>
      <c r="K12" s="582">
        <f>J12+SUM(F12:F15)</f>
        <v>743750.46924449736</v>
      </c>
      <c r="L12" s="582">
        <f>K12/SUM(C12:C15)</f>
        <v>825.47221891731112</v>
      </c>
      <c r="M12" s="211">
        <v>17</v>
      </c>
      <c r="N12" s="212">
        <v>9</v>
      </c>
      <c r="O12" s="206">
        <f t="shared" si="2"/>
        <v>8</v>
      </c>
      <c r="P12" s="206">
        <v>516</v>
      </c>
      <c r="R12">
        <f t="shared" si="0"/>
        <v>276</v>
      </c>
      <c r="U12" s="616" t="s">
        <v>267</v>
      </c>
      <c r="V12" s="210" t="s">
        <v>101</v>
      </c>
      <c r="W12" s="210">
        <v>240</v>
      </c>
      <c r="X12" s="195">
        <v>1.9</v>
      </c>
      <c r="Y12" s="209">
        <v>292</v>
      </c>
      <c r="Z12" s="107">
        <f t="shared" si="3"/>
        <v>133152</v>
      </c>
      <c r="AA12" s="614">
        <v>700</v>
      </c>
      <c r="AB12" s="590">
        <v>1681</v>
      </c>
      <c r="AC12" s="590">
        <v>650</v>
      </c>
      <c r="AD12" s="590">
        <f>AA12/AB12*SUM(W12:W15)*AC12</f>
        <v>211124.33075550268</v>
      </c>
      <c r="AE12" s="582">
        <f>AD12+SUM(Z12:Z15)</f>
        <v>643868.33075550268</v>
      </c>
      <c r="AF12" s="582">
        <f>AE12/SUM(W12:W15)</f>
        <v>825.47221891731112</v>
      </c>
      <c r="AG12" s="211">
        <v>17</v>
      </c>
      <c r="AH12" s="210">
        <v>9</v>
      </c>
      <c r="AI12" s="210">
        <f t="shared" si="4"/>
        <v>8</v>
      </c>
      <c r="AJ12" s="210">
        <v>516</v>
      </c>
      <c r="AK12" s="212"/>
    </row>
    <row r="13" spans="1:37">
      <c r="A13" s="616"/>
      <c r="B13" s="206" t="s">
        <v>271</v>
      </c>
      <c r="C13" s="206">
        <v>259</v>
      </c>
      <c r="D13" s="195">
        <v>1.9</v>
      </c>
      <c r="E13" s="209">
        <v>292</v>
      </c>
      <c r="F13" s="107">
        <f t="shared" si="1"/>
        <v>143693.19999999998</v>
      </c>
      <c r="G13" s="624"/>
      <c r="H13" s="590"/>
      <c r="I13" s="590"/>
      <c r="J13" s="590"/>
      <c r="K13" s="582"/>
      <c r="L13" s="582"/>
      <c r="M13" s="211">
        <v>16</v>
      </c>
      <c r="N13" s="212">
        <v>8</v>
      </c>
      <c r="O13" s="206">
        <f t="shared" si="2"/>
        <v>8</v>
      </c>
      <c r="P13" s="206">
        <v>469</v>
      </c>
      <c r="R13">
        <f t="shared" si="0"/>
        <v>259</v>
      </c>
      <c r="U13" s="616"/>
      <c r="V13" s="210" t="s">
        <v>271</v>
      </c>
      <c r="W13" s="210">
        <v>210</v>
      </c>
      <c r="X13" s="195">
        <v>1.9</v>
      </c>
      <c r="Y13" s="209">
        <v>292</v>
      </c>
      <c r="Z13" s="107">
        <f t="shared" si="3"/>
        <v>116508</v>
      </c>
      <c r="AA13" s="614"/>
      <c r="AB13" s="590"/>
      <c r="AC13" s="590"/>
      <c r="AD13" s="590"/>
      <c r="AE13" s="582"/>
      <c r="AF13" s="582"/>
      <c r="AG13" s="211">
        <v>16</v>
      </c>
      <c r="AH13" s="210">
        <v>8</v>
      </c>
      <c r="AI13" s="210">
        <f t="shared" si="4"/>
        <v>8</v>
      </c>
      <c r="AJ13" s="210">
        <v>469</v>
      </c>
      <c r="AK13" s="212"/>
    </row>
    <row r="14" spans="1:37">
      <c r="A14" s="616"/>
      <c r="B14" s="206" t="s">
        <v>244</v>
      </c>
      <c r="C14" s="206">
        <v>180</v>
      </c>
      <c r="D14" s="195">
        <v>1.9</v>
      </c>
      <c r="E14" s="209">
        <v>292</v>
      </c>
      <c r="F14" s="107">
        <f t="shared" si="1"/>
        <v>99864</v>
      </c>
      <c r="G14" s="624"/>
      <c r="H14" s="590"/>
      <c r="I14" s="590"/>
      <c r="J14" s="590"/>
      <c r="K14" s="582"/>
      <c r="L14" s="582"/>
      <c r="M14" s="211">
        <v>12</v>
      </c>
      <c r="N14" s="212">
        <v>6</v>
      </c>
      <c r="O14" s="206">
        <f t="shared" si="2"/>
        <v>6</v>
      </c>
      <c r="P14" s="206">
        <v>360</v>
      </c>
      <c r="R14">
        <f t="shared" si="0"/>
        <v>180</v>
      </c>
      <c r="U14" s="616"/>
      <c r="V14" s="210" t="s">
        <v>244</v>
      </c>
      <c r="W14" s="210">
        <v>180</v>
      </c>
      <c r="X14" s="195">
        <v>1.9</v>
      </c>
      <c r="Y14" s="209">
        <v>292</v>
      </c>
      <c r="Z14" s="107">
        <f t="shared" si="3"/>
        <v>99864</v>
      </c>
      <c r="AA14" s="614"/>
      <c r="AB14" s="590"/>
      <c r="AC14" s="590"/>
      <c r="AD14" s="590"/>
      <c r="AE14" s="582"/>
      <c r="AF14" s="582"/>
      <c r="AG14" s="211">
        <v>12</v>
      </c>
      <c r="AH14" s="210">
        <v>6</v>
      </c>
      <c r="AI14" s="210">
        <f t="shared" si="4"/>
        <v>6</v>
      </c>
      <c r="AJ14" s="210">
        <v>360</v>
      </c>
      <c r="AK14" s="212"/>
    </row>
    <row r="15" spans="1:37">
      <c r="A15" s="616"/>
      <c r="B15" s="206" t="s">
        <v>98</v>
      </c>
      <c r="C15" s="206">
        <v>186</v>
      </c>
      <c r="D15" s="195">
        <v>1.9</v>
      </c>
      <c r="E15" s="209">
        <v>292</v>
      </c>
      <c r="F15" s="107">
        <f t="shared" si="1"/>
        <v>103192.79999999999</v>
      </c>
      <c r="G15" s="624"/>
      <c r="H15" s="590"/>
      <c r="I15" s="590"/>
      <c r="J15" s="590"/>
      <c r="K15" s="582"/>
      <c r="L15" s="582"/>
      <c r="M15" s="211">
        <v>11</v>
      </c>
      <c r="N15" s="212">
        <v>6</v>
      </c>
      <c r="O15" s="206">
        <f t="shared" si="2"/>
        <v>5</v>
      </c>
      <c r="P15" s="206">
        <v>336</v>
      </c>
      <c r="R15">
        <f t="shared" si="0"/>
        <v>186</v>
      </c>
      <c r="U15" s="616"/>
      <c r="V15" s="210" t="s">
        <v>98</v>
      </c>
      <c r="W15" s="210">
        <v>150</v>
      </c>
      <c r="X15" s="195">
        <v>1.9</v>
      </c>
      <c r="Y15" s="209">
        <v>292</v>
      </c>
      <c r="Z15" s="107">
        <f t="shared" si="3"/>
        <v>83220</v>
      </c>
      <c r="AA15" s="614"/>
      <c r="AB15" s="590"/>
      <c r="AC15" s="590"/>
      <c r="AD15" s="590"/>
      <c r="AE15" s="582"/>
      <c r="AF15" s="582"/>
      <c r="AG15" s="211">
        <v>11</v>
      </c>
      <c r="AH15" s="210">
        <v>6</v>
      </c>
      <c r="AI15" s="210">
        <f t="shared" si="4"/>
        <v>5</v>
      </c>
      <c r="AJ15" s="210">
        <v>336</v>
      </c>
      <c r="AK15" s="212"/>
    </row>
    <row r="16" spans="1:37">
      <c r="A16" s="624">
        <v>192</v>
      </c>
      <c r="B16" s="206" t="s">
        <v>272</v>
      </c>
      <c r="C16" s="206">
        <v>1581</v>
      </c>
      <c r="D16" s="195">
        <v>1.45</v>
      </c>
      <c r="E16" s="209">
        <v>292</v>
      </c>
      <c r="F16" s="107">
        <f t="shared" si="1"/>
        <v>669395.39999999991</v>
      </c>
      <c r="G16" s="621">
        <v>3237</v>
      </c>
      <c r="H16" s="590">
        <v>7043</v>
      </c>
      <c r="I16" s="590">
        <v>650</v>
      </c>
      <c r="J16" s="590">
        <f>G16/H16*SUM(C16:C21)*I16</f>
        <v>1154045.8824364617</v>
      </c>
      <c r="K16" s="582">
        <f>J16+SUM(F16:F21)</f>
        <v>2737649.4824364614</v>
      </c>
      <c r="L16" s="582">
        <f>K16/SUM(C16:C21)</f>
        <v>708.68482589605526</v>
      </c>
      <c r="M16" s="211">
        <v>86</v>
      </c>
      <c r="N16" s="212">
        <v>53</v>
      </c>
      <c r="O16" s="206">
        <f t="shared" si="2"/>
        <v>33</v>
      </c>
      <c r="P16" s="206">
        <v>2571</v>
      </c>
      <c r="R16">
        <f t="shared" si="0"/>
        <v>1581</v>
      </c>
      <c r="U16" s="624">
        <v>192</v>
      </c>
      <c r="V16" s="210" t="s">
        <v>272</v>
      </c>
      <c r="W16" s="210">
        <v>990</v>
      </c>
      <c r="X16" s="195">
        <v>1.45</v>
      </c>
      <c r="Y16" s="209">
        <v>292</v>
      </c>
      <c r="Z16" s="107">
        <f t="shared" si="3"/>
        <v>419166</v>
      </c>
      <c r="AA16" s="617">
        <v>3237</v>
      </c>
      <c r="AB16" s="590">
        <v>7043</v>
      </c>
      <c r="AC16" s="590">
        <v>650</v>
      </c>
      <c r="AD16" s="590">
        <f>AA16/AB16*SUM(W16:W21)*AC16</f>
        <v>950004.11756353825</v>
      </c>
      <c r="AE16" s="582">
        <f>AD16+SUM(Z16:Z21)</f>
        <v>2247798.1175635383</v>
      </c>
      <c r="AF16" s="582">
        <f>AE16/SUM(W16:W21)</f>
        <v>706.85475395079823</v>
      </c>
      <c r="AG16" s="211">
        <v>86</v>
      </c>
      <c r="AH16" s="210">
        <v>53</v>
      </c>
      <c r="AI16" s="210">
        <f t="shared" si="4"/>
        <v>33</v>
      </c>
      <c r="AJ16" s="210">
        <v>2571</v>
      </c>
      <c r="AK16" s="212"/>
    </row>
    <row r="17" spans="1:37">
      <c r="A17" s="624"/>
      <c r="B17" s="206" t="s">
        <v>101</v>
      </c>
      <c r="C17" s="206">
        <v>843</v>
      </c>
      <c r="D17" s="195">
        <v>1.3</v>
      </c>
      <c r="E17" s="209">
        <v>292</v>
      </c>
      <c r="F17" s="107">
        <f t="shared" si="1"/>
        <v>320002.80000000005</v>
      </c>
      <c r="G17" s="621"/>
      <c r="H17" s="590"/>
      <c r="I17" s="590"/>
      <c r="J17" s="590"/>
      <c r="K17" s="582"/>
      <c r="L17" s="582"/>
      <c r="M17" s="211">
        <v>55</v>
      </c>
      <c r="N17" s="212">
        <v>28</v>
      </c>
      <c r="O17" s="206">
        <f t="shared" si="2"/>
        <v>27</v>
      </c>
      <c r="P17" s="206">
        <v>1653</v>
      </c>
      <c r="R17">
        <f t="shared" si="0"/>
        <v>843</v>
      </c>
      <c r="U17" s="624"/>
      <c r="V17" s="210" t="s">
        <v>101</v>
      </c>
      <c r="W17" s="210">
        <v>810</v>
      </c>
      <c r="X17" s="195">
        <v>1.3</v>
      </c>
      <c r="Y17" s="209">
        <v>292</v>
      </c>
      <c r="Z17" s="107">
        <f t="shared" si="3"/>
        <v>307476</v>
      </c>
      <c r="AA17" s="617"/>
      <c r="AB17" s="590"/>
      <c r="AC17" s="590"/>
      <c r="AD17" s="590"/>
      <c r="AE17" s="582"/>
      <c r="AF17" s="582"/>
      <c r="AG17" s="211">
        <v>55</v>
      </c>
      <c r="AH17" s="210">
        <v>28</v>
      </c>
      <c r="AI17" s="210">
        <f t="shared" si="4"/>
        <v>27</v>
      </c>
      <c r="AJ17" s="210">
        <v>1653</v>
      </c>
      <c r="AK17" s="212"/>
    </row>
    <row r="18" spans="1:37">
      <c r="A18" s="624"/>
      <c r="B18" s="206" t="s">
        <v>96</v>
      </c>
      <c r="C18" s="206">
        <v>540</v>
      </c>
      <c r="D18" s="195">
        <v>1.45</v>
      </c>
      <c r="E18" s="209">
        <v>292</v>
      </c>
      <c r="F18" s="107">
        <f t="shared" si="1"/>
        <v>228636</v>
      </c>
      <c r="G18" s="621"/>
      <c r="H18" s="590"/>
      <c r="I18" s="590"/>
      <c r="J18" s="590"/>
      <c r="K18" s="582"/>
      <c r="L18" s="582"/>
      <c r="M18" s="211">
        <v>36</v>
      </c>
      <c r="N18" s="212">
        <v>18</v>
      </c>
      <c r="O18" s="206">
        <f t="shared" si="2"/>
        <v>18</v>
      </c>
      <c r="P18" s="206">
        <v>1080</v>
      </c>
      <c r="R18">
        <f t="shared" si="0"/>
        <v>540</v>
      </c>
      <c r="U18" s="624"/>
      <c r="V18" s="210" t="s">
        <v>96</v>
      </c>
      <c r="W18" s="210">
        <v>540</v>
      </c>
      <c r="X18" s="195">
        <v>1.45</v>
      </c>
      <c r="Y18" s="209">
        <v>292</v>
      </c>
      <c r="Z18" s="107">
        <f t="shared" si="3"/>
        <v>228636</v>
      </c>
      <c r="AA18" s="617"/>
      <c r="AB18" s="590"/>
      <c r="AC18" s="590"/>
      <c r="AD18" s="590"/>
      <c r="AE18" s="582"/>
      <c r="AF18" s="582"/>
      <c r="AG18" s="211">
        <v>36</v>
      </c>
      <c r="AH18" s="210">
        <v>18</v>
      </c>
      <c r="AI18" s="210">
        <f t="shared" si="4"/>
        <v>18</v>
      </c>
      <c r="AJ18" s="210">
        <v>1080</v>
      </c>
      <c r="AK18" s="212"/>
    </row>
    <row r="19" spans="1:37">
      <c r="A19" s="624"/>
      <c r="B19" s="206" t="s">
        <v>97</v>
      </c>
      <c r="C19" s="206">
        <v>284</v>
      </c>
      <c r="D19" s="195">
        <v>1.45</v>
      </c>
      <c r="E19" s="209">
        <v>292</v>
      </c>
      <c r="F19" s="107">
        <f t="shared" si="1"/>
        <v>120245.6</v>
      </c>
      <c r="G19" s="621"/>
      <c r="H19" s="590"/>
      <c r="I19" s="590"/>
      <c r="J19" s="590"/>
      <c r="K19" s="582"/>
      <c r="L19" s="582"/>
      <c r="M19" s="211">
        <v>18</v>
      </c>
      <c r="N19" s="212">
        <v>9</v>
      </c>
      <c r="O19" s="206">
        <f t="shared" si="2"/>
        <v>9</v>
      </c>
      <c r="P19" s="206">
        <v>554</v>
      </c>
      <c r="R19">
        <f t="shared" si="0"/>
        <v>284</v>
      </c>
      <c r="U19" s="624"/>
      <c r="V19" s="210" t="s">
        <v>97</v>
      </c>
      <c r="W19" s="210">
        <v>270</v>
      </c>
      <c r="X19" s="195">
        <v>1.45</v>
      </c>
      <c r="Y19" s="209">
        <v>292</v>
      </c>
      <c r="Z19" s="107">
        <f t="shared" si="3"/>
        <v>114318</v>
      </c>
      <c r="AA19" s="617"/>
      <c r="AB19" s="590"/>
      <c r="AC19" s="590"/>
      <c r="AD19" s="590"/>
      <c r="AE19" s="582"/>
      <c r="AF19" s="582"/>
      <c r="AG19" s="211">
        <v>18</v>
      </c>
      <c r="AH19" s="210">
        <v>9</v>
      </c>
      <c r="AI19" s="210">
        <f t="shared" si="4"/>
        <v>9</v>
      </c>
      <c r="AJ19" s="210">
        <v>554</v>
      </c>
      <c r="AK19" s="212"/>
    </row>
    <row r="20" spans="1:37" ht="15" customHeight="1">
      <c r="A20" s="624"/>
      <c r="B20" s="206" t="s">
        <v>100</v>
      </c>
      <c r="C20" s="206">
        <v>344</v>
      </c>
      <c r="D20" s="195">
        <v>1.3</v>
      </c>
      <c r="E20" s="209">
        <v>292</v>
      </c>
      <c r="F20" s="107">
        <f t="shared" si="1"/>
        <v>130582.39999999999</v>
      </c>
      <c r="G20" s="621"/>
      <c r="H20" s="590"/>
      <c r="I20" s="590"/>
      <c r="J20" s="590"/>
      <c r="K20" s="582"/>
      <c r="L20" s="582"/>
      <c r="M20" s="211">
        <v>21</v>
      </c>
      <c r="N20" s="212">
        <v>11</v>
      </c>
      <c r="O20" s="206">
        <f t="shared" si="2"/>
        <v>10</v>
      </c>
      <c r="P20" s="206">
        <v>644</v>
      </c>
      <c r="R20">
        <f t="shared" si="0"/>
        <v>344</v>
      </c>
      <c r="U20" s="624"/>
      <c r="V20" s="210" t="s">
        <v>100</v>
      </c>
      <c r="W20" s="210">
        <v>300</v>
      </c>
      <c r="X20" s="195">
        <v>1.3</v>
      </c>
      <c r="Y20" s="209">
        <v>292</v>
      </c>
      <c r="Z20" s="107">
        <f t="shared" si="3"/>
        <v>113880</v>
      </c>
      <c r="AA20" s="617"/>
      <c r="AB20" s="590"/>
      <c r="AC20" s="590"/>
      <c r="AD20" s="590"/>
      <c r="AE20" s="582"/>
      <c r="AF20" s="582"/>
      <c r="AG20" s="211">
        <v>21</v>
      </c>
      <c r="AH20" s="210">
        <v>11</v>
      </c>
      <c r="AI20" s="210">
        <f t="shared" si="4"/>
        <v>10</v>
      </c>
      <c r="AJ20" s="210">
        <v>644</v>
      </c>
      <c r="AK20" s="212"/>
    </row>
    <row r="21" spans="1:37">
      <c r="A21" s="624"/>
      <c r="B21" s="206" t="s">
        <v>95</v>
      </c>
      <c r="C21" s="206">
        <v>271</v>
      </c>
      <c r="D21" s="195">
        <v>1.45</v>
      </c>
      <c r="E21" s="209">
        <v>292</v>
      </c>
      <c r="F21" s="107">
        <f t="shared" si="1"/>
        <v>114741.4</v>
      </c>
      <c r="G21" s="621"/>
      <c r="H21" s="590"/>
      <c r="I21" s="590"/>
      <c r="J21" s="590"/>
      <c r="K21" s="582"/>
      <c r="L21" s="582"/>
      <c r="M21" s="211">
        <v>18</v>
      </c>
      <c r="N21" s="212">
        <v>9</v>
      </c>
      <c r="O21" s="206">
        <f t="shared" si="2"/>
        <v>9</v>
      </c>
      <c r="P21" s="206">
        <v>541</v>
      </c>
      <c r="R21">
        <f t="shared" si="0"/>
        <v>271</v>
      </c>
      <c r="U21" s="624"/>
      <c r="V21" s="210" t="s">
        <v>95</v>
      </c>
      <c r="W21" s="210">
        <v>270</v>
      </c>
      <c r="X21" s="195">
        <v>1.45</v>
      </c>
      <c r="Y21" s="209">
        <v>292</v>
      </c>
      <c r="Z21" s="107">
        <f t="shared" si="3"/>
        <v>114318</v>
      </c>
      <c r="AA21" s="617"/>
      <c r="AB21" s="590"/>
      <c r="AC21" s="590"/>
      <c r="AD21" s="590"/>
      <c r="AE21" s="582"/>
      <c r="AF21" s="582"/>
      <c r="AG21" s="211">
        <v>18</v>
      </c>
      <c r="AH21" s="210">
        <v>9</v>
      </c>
      <c r="AI21" s="210">
        <f t="shared" si="4"/>
        <v>9</v>
      </c>
      <c r="AJ21" s="210">
        <v>541</v>
      </c>
      <c r="AK21" s="212"/>
    </row>
    <row r="22" spans="1:37">
      <c r="A22" s="616" t="s">
        <v>147</v>
      </c>
      <c r="B22" s="206" t="s">
        <v>98</v>
      </c>
      <c r="C22" s="206">
        <v>188</v>
      </c>
      <c r="D22" s="195">
        <v>3</v>
      </c>
      <c r="E22" s="209">
        <v>292</v>
      </c>
      <c r="F22" s="107">
        <f t="shared" si="1"/>
        <v>164688</v>
      </c>
      <c r="G22" s="621">
        <f>2163/2792*H22</f>
        <v>898.66762177650423</v>
      </c>
      <c r="H22" s="590">
        <v>1160</v>
      </c>
      <c r="I22" s="590">
        <v>650</v>
      </c>
      <c r="J22" s="590">
        <f>G22/H22*SUM(C22:C25)*I22</f>
        <v>312209.52722063038</v>
      </c>
      <c r="K22" s="582">
        <f>J22+SUM(F22:F25)</f>
        <v>836933.52722063032</v>
      </c>
      <c r="L22" s="582">
        <f>K22/SUM(C22:C25)</f>
        <v>1349.8927858397262</v>
      </c>
      <c r="M22" s="211">
        <v>11</v>
      </c>
      <c r="N22" s="212">
        <v>6</v>
      </c>
      <c r="O22" s="206">
        <f t="shared" si="2"/>
        <v>5</v>
      </c>
      <c r="P22" s="206">
        <v>338</v>
      </c>
      <c r="R22">
        <f t="shared" si="0"/>
        <v>188</v>
      </c>
      <c r="T22">
        <v>0</v>
      </c>
      <c r="U22" s="616" t="s">
        <v>147</v>
      </c>
      <c r="V22" s="210" t="s">
        <v>98</v>
      </c>
      <c r="W22" s="210">
        <v>150</v>
      </c>
      <c r="X22" s="195">
        <v>3</v>
      </c>
      <c r="Y22" s="209">
        <v>292</v>
      </c>
      <c r="Z22" s="107">
        <f t="shared" si="3"/>
        <v>131400</v>
      </c>
      <c r="AA22" s="617">
        <f>2163/2792*AB22</f>
        <v>898.66762177650423</v>
      </c>
      <c r="AB22" s="590">
        <v>1160</v>
      </c>
      <c r="AC22" s="590">
        <v>650</v>
      </c>
      <c r="AD22" s="590">
        <f>AA22/AB22*SUM(W22:W25)*AC22</f>
        <v>271924.42693409743</v>
      </c>
      <c r="AE22" s="582">
        <f>AD22+SUM(Z22:Z25)</f>
        <v>726568.42693409743</v>
      </c>
      <c r="AF22" s="582">
        <f>AE22/SUM(W22:W25)</f>
        <v>1345.4970869149952</v>
      </c>
      <c r="AG22" s="211">
        <v>11</v>
      </c>
      <c r="AH22" s="210">
        <v>6</v>
      </c>
      <c r="AI22" s="210">
        <f t="shared" si="4"/>
        <v>5</v>
      </c>
      <c r="AJ22" s="210">
        <v>338</v>
      </c>
      <c r="AK22" s="212"/>
    </row>
    <row r="23" spans="1:37">
      <c r="A23" s="616"/>
      <c r="B23" s="206" t="s">
        <v>96</v>
      </c>
      <c r="C23" s="206">
        <v>210</v>
      </c>
      <c r="D23" s="195">
        <v>2.7</v>
      </c>
      <c r="E23" s="209">
        <v>292</v>
      </c>
      <c r="F23" s="107">
        <f t="shared" si="1"/>
        <v>165564</v>
      </c>
      <c r="G23" s="621"/>
      <c r="H23" s="590"/>
      <c r="I23" s="590"/>
      <c r="J23" s="590"/>
      <c r="K23" s="582"/>
      <c r="L23" s="582"/>
      <c r="M23" s="211">
        <v>14</v>
      </c>
      <c r="N23" s="212">
        <v>7</v>
      </c>
      <c r="O23" s="206">
        <f t="shared" si="2"/>
        <v>7</v>
      </c>
      <c r="P23" s="206">
        <v>420</v>
      </c>
      <c r="R23">
        <f t="shared" si="0"/>
        <v>210</v>
      </c>
      <c r="S23" s="202"/>
      <c r="U23" s="616"/>
      <c r="V23" s="210" t="s">
        <v>96</v>
      </c>
      <c r="W23" s="210">
        <v>210</v>
      </c>
      <c r="X23" s="195">
        <v>2.7</v>
      </c>
      <c r="Y23" s="209">
        <v>292</v>
      </c>
      <c r="Z23" s="107">
        <f t="shared" si="3"/>
        <v>165564</v>
      </c>
      <c r="AA23" s="617"/>
      <c r="AB23" s="590"/>
      <c r="AC23" s="590"/>
      <c r="AD23" s="590"/>
      <c r="AE23" s="582"/>
      <c r="AF23" s="582"/>
      <c r="AG23" s="211">
        <v>14</v>
      </c>
      <c r="AH23" s="210">
        <v>7</v>
      </c>
      <c r="AI23" s="210">
        <f t="shared" si="4"/>
        <v>7</v>
      </c>
      <c r="AJ23" s="210">
        <v>420</v>
      </c>
      <c r="AK23" s="212"/>
    </row>
    <row r="24" spans="1:37">
      <c r="A24" s="616"/>
      <c r="B24" s="206" t="s">
        <v>95</v>
      </c>
      <c r="C24" s="206">
        <v>124</v>
      </c>
      <c r="D24" s="195">
        <v>3</v>
      </c>
      <c r="E24" s="209">
        <v>292</v>
      </c>
      <c r="F24" s="107">
        <f t="shared" si="1"/>
        <v>108624</v>
      </c>
      <c r="G24" s="621"/>
      <c r="H24" s="590"/>
      <c r="I24" s="590"/>
      <c r="J24" s="590"/>
      <c r="K24" s="582"/>
      <c r="L24" s="582"/>
      <c r="M24" s="211">
        <v>7</v>
      </c>
      <c r="N24" s="212">
        <v>4</v>
      </c>
      <c r="O24" s="206">
        <f t="shared" si="2"/>
        <v>3</v>
      </c>
      <c r="P24" s="206">
        <v>214</v>
      </c>
      <c r="R24">
        <f t="shared" si="0"/>
        <v>124</v>
      </c>
      <c r="U24" s="616"/>
      <c r="V24" s="210" t="s">
        <v>95</v>
      </c>
      <c r="W24" s="210">
        <v>90</v>
      </c>
      <c r="X24" s="195">
        <v>3</v>
      </c>
      <c r="Y24" s="209">
        <v>292</v>
      </c>
      <c r="Z24" s="107">
        <f t="shared" si="3"/>
        <v>78840</v>
      </c>
      <c r="AA24" s="617"/>
      <c r="AB24" s="590"/>
      <c r="AC24" s="590"/>
      <c r="AD24" s="590"/>
      <c r="AE24" s="582"/>
      <c r="AF24" s="582"/>
      <c r="AG24" s="211">
        <v>7</v>
      </c>
      <c r="AH24" s="210">
        <v>4</v>
      </c>
      <c r="AI24" s="210">
        <f t="shared" si="4"/>
        <v>3</v>
      </c>
      <c r="AJ24" s="210">
        <v>214</v>
      </c>
      <c r="AK24" s="212"/>
    </row>
    <row r="25" spans="1:37" ht="15" customHeight="1">
      <c r="A25" s="616"/>
      <c r="B25" s="206" t="s">
        <v>97</v>
      </c>
      <c r="C25" s="206">
        <v>98</v>
      </c>
      <c r="D25" s="195">
        <v>3</v>
      </c>
      <c r="E25" s="209">
        <v>292</v>
      </c>
      <c r="F25" s="107">
        <f t="shared" si="1"/>
        <v>85848</v>
      </c>
      <c r="G25" s="621"/>
      <c r="H25" s="590"/>
      <c r="I25" s="590"/>
      <c r="J25" s="590"/>
      <c r="K25" s="582"/>
      <c r="L25" s="582"/>
      <c r="M25" s="211">
        <v>6</v>
      </c>
      <c r="N25" s="212">
        <v>3</v>
      </c>
      <c r="O25" s="206">
        <f t="shared" si="2"/>
        <v>3</v>
      </c>
      <c r="P25" s="206">
        <v>188</v>
      </c>
      <c r="R25">
        <f t="shared" si="0"/>
        <v>98</v>
      </c>
      <c r="U25" s="616"/>
      <c r="V25" s="210" t="s">
        <v>97</v>
      </c>
      <c r="W25" s="210">
        <v>90</v>
      </c>
      <c r="X25" s="195">
        <v>3</v>
      </c>
      <c r="Y25" s="209">
        <v>292</v>
      </c>
      <c r="Z25" s="107">
        <f t="shared" si="3"/>
        <v>78840</v>
      </c>
      <c r="AA25" s="617"/>
      <c r="AB25" s="590"/>
      <c r="AC25" s="590"/>
      <c r="AD25" s="590"/>
      <c r="AE25" s="582"/>
      <c r="AF25" s="582"/>
      <c r="AG25" s="211">
        <v>6</v>
      </c>
      <c r="AH25" s="210">
        <v>3</v>
      </c>
      <c r="AI25" s="210">
        <f t="shared" si="4"/>
        <v>3</v>
      </c>
      <c r="AJ25" s="210">
        <v>188</v>
      </c>
      <c r="AK25" s="212"/>
    </row>
    <row r="26" spans="1:37">
      <c r="A26" s="616" t="s">
        <v>262</v>
      </c>
      <c r="B26" s="206" t="s">
        <v>98</v>
      </c>
      <c r="C26" s="206">
        <v>133</v>
      </c>
      <c r="D26" s="195">
        <v>3</v>
      </c>
      <c r="E26" s="209">
        <v>292</v>
      </c>
      <c r="F26" s="107">
        <f t="shared" si="1"/>
        <v>116508</v>
      </c>
      <c r="G26" s="621">
        <f>2163/2792*H26</f>
        <v>809.57557306590252</v>
      </c>
      <c r="H26" s="590">
        <v>1045</v>
      </c>
      <c r="I26" s="590">
        <v>650</v>
      </c>
      <c r="J26" s="590">
        <f>G26/H26*SUM(C26:C29)*I26</f>
        <v>284513.52077363897</v>
      </c>
      <c r="K26" s="582">
        <f>J26+SUM(F26:F29)</f>
        <v>763685.52077363897</v>
      </c>
      <c r="L26" s="582">
        <f>K26/SUM(C26:C29)</f>
        <v>1351.6557889798919</v>
      </c>
      <c r="M26" s="211">
        <v>10</v>
      </c>
      <c r="N26" s="212">
        <v>5</v>
      </c>
      <c r="O26" s="206">
        <f t="shared" si="2"/>
        <v>5</v>
      </c>
      <c r="P26" s="206">
        <v>283</v>
      </c>
      <c r="R26">
        <f t="shared" si="0"/>
        <v>133</v>
      </c>
      <c r="U26" s="616" t="s">
        <v>262</v>
      </c>
      <c r="V26" s="210" t="s">
        <v>98</v>
      </c>
      <c r="W26" s="210">
        <v>150</v>
      </c>
      <c r="X26" s="195">
        <v>3</v>
      </c>
      <c r="Y26" s="209">
        <v>292</v>
      </c>
      <c r="Z26" s="107">
        <f t="shared" si="3"/>
        <v>131400</v>
      </c>
      <c r="AA26" s="617">
        <f>2163/2792*AB26</f>
        <v>809.57557306590252</v>
      </c>
      <c r="AB26" s="590">
        <v>1045</v>
      </c>
      <c r="AC26" s="590">
        <v>650</v>
      </c>
      <c r="AD26" s="590">
        <f>AA26/AB26*SUM(W26:W29)*AC26</f>
        <v>241710.6017191977</v>
      </c>
      <c r="AE26" s="582">
        <f>AD26+SUM(Z26:Z29)</f>
        <v>649050.6017191977</v>
      </c>
      <c r="AF26" s="582">
        <f>AE26/SUM(W26:W29)</f>
        <v>1352.1887535816618</v>
      </c>
      <c r="AG26" s="211">
        <v>10</v>
      </c>
      <c r="AH26" s="210">
        <v>5</v>
      </c>
      <c r="AI26" s="210">
        <f t="shared" si="4"/>
        <v>5</v>
      </c>
      <c r="AJ26" s="210">
        <v>283</v>
      </c>
      <c r="AK26" s="212"/>
    </row>
    <row r="27" spans="1:37">
      <c r="A27" s="616"/>
      <c r="B27" s="206" t="s">
        <v>96</v>
      </c>
      <c r="C27" s="206">
        <v>180</v>
      </c>
      <c r="D27" s="195">
        <v>2.7</v>
      </c>
      <c r="E27" s="209">
        <v>292</v>
      </c>
      <c r="F27" s="107">
        <f t="shared" si="1"/>
        <v>141912.00000000003</v>
      </c>
      <c r="G27" s="621"/>
      <c r="H27" s="590"/>
      <c r="I27" s="590"/>
      <c r="J27" s="590"/>
      <c r="K27" s="582"/>
      <c r="L27" s="582"/>
      <c r="M27" s="211">
        <v>11</v>
      </c>
      <c r="N27" s="212">
        <v>6</v>
      </c>
      <c r="O27" s="206">
        <f t="shared" si="2"/>
        <v>5</v>
      </c>
      <c r="P27" s="206">
        <v>330</v>
      </c>
      <c r="R27">
        <f t="shared" si="0"/>
        <v>180</v>
      </c>
      <c r="U27" s="616"/>
      <c r="V27" s="210" t="s">
        <v>96</v>
      </c>
      <c r="W27" s="210">
        <v>150</v>
      </c>
      <c r="X27" s="195">
        <v>2.7</v>
      </c>
      <c r="Y27" s="209">
        <v>292</v>
      </c>
      <c r="Z27" s="107">
        <f t="shared" si="3"/>
        <v>118260</v>
      </c>
      <c r="AA27" s="617"/>
      <c r="AB27" s="590"/>
      <c r="AC27" s="590"/>
      <c r="AD27" s="590"/>
      <c r="AE27" s="582"/>
      <c r="AF27" s="582"/>
      <c r="AG27" s="211">
        <v>11</v>
      </c>
      <c r="AH27" s="210">
        <v>6</v>
      </c>
      <c r="AI27" s="210">
        <f t="shared" si="4"/>
        <v>5</v>
      </c>
      <c r="AJ27" s="210">
        <v>330</v>
      </c>
      <c r="AK27" s="212"/>
    </row>
    <row r="28" spans="1:37">
      <c r="A28" s="616"/>
      <c r="B28" s="206" t="s">
        <v>102</v>
      </c>
      <c r="C28" s="206">
        <v>132</v>
      </c>
      <c r="D28" s="195">
        <v>3</v>
      </c>
      <c r="E28" s="209">
        <v>292</v>
      </c>
      <c r="F28" s="107">
        <f t="shared" si="1"/>
        <v>115632</v>
      </c>
      <c r="G28" s="621"/>
      <c r="H28" s="590"/>
      <c r="I28" s="590"/>
      <c r="J28" s="590"/>
      <c r="K28" s="582"/>
      <c r="L28" s="582"/>
      <c r="M28" s="211">
        <v>7</v>
      </c>
      <c r="N28" s="212">
        <v>4</v>
      </c>
      <c r="O28" s="206">
        <f t="shared" si="2"/>
        <v>3</v>
      </c>
      <c r="P28" s="206">
        <v>222</v>
      </c>
      <c r="R28">
        <f t="shared" si="0"/>
        <v>132</v>
      </c>
      <c r="U28" s="616"/>
      <c r="V28" s="210" t="s">
        <v>102</v>
      </c>
      <c r="W28" s="210">
        <v>90</v>
      </c>
      <c r="X28" s="195">
        <v>3</v>
      </c>
      <c r="Y28" s="209">
        <v>292</v>
      </c>
      <c r="Z28" s="107">
        <f t="shared" si="3"/>
        <v>78840</v>
      </c>
      <c r="AA28" s="617"/>
      <c r="AB28" s="590"/>
      <c r="AC28" s="590"/>
      <c r="AD28" s="590"/>
      <c r="AE28" s="582"/>
      <c r="AF28" s="582"/>
      <c r="AG28" s="211">
        <v>7</v>
      </c>
      <c r="AH28" s="210">
        <v>4</v>
      </c>
      <c r="AI28" s="210">
        <f t="shared" si="4"/>
        <v>3</v>
      </c>
      <c r="AJ28" s="210">
        <v>222</v>
      </c>
      <c r="AK28" s="212"/>
    </row>
    <row r="29" spans="1:37">
      <c r="A29" s="616"/>
      <c r="B29" s="206" t="s">
        <v>95</v>
      </c>
      <c r="C29" s="206">
        <v>120</v>
      </c>
      <c r="D29" s="195">
        <v>3</v>
      </c>
      <c r="E29" s="209">
        <v>292</v>
      </c>
      <c r="F29" s="107">
        <f t="shared" si="1"/>
        <v>105120</v>
      </c>
      <c r="G29" s="621"/>
      <c r="H29" s="590"/>
      <c r="I29" s="590"/>
      <c r="J29" s="590"/>
      <c r="K29" s="582"/>
      <c r="L29" s="582"/>
      <c r="M29" s="211">
        <v>7</v>
      </c>
      <c r="N29" s="212">
        <v>4</v>
      </c>
      <c r="O29" s="206">
        <f t="shared" si="2"/>
        <v>3</v>
      </c>
      <c r="P29" s="206">
        <v>210</v>
      </c>
      <c r="R29">
        <f t="shared" si="0"/>
        <v>120</v>
      </c>
      <c r="U29" s="616"/>
      <c r="V29" s="210" t="s">
        <v>95</v>
      </c>
      <c r="W29" s="210">
        <v>90</v>
      </c>
      <c r="X29" s="195">
        <v>3</v>
      </c>
      <c r="Y29" s="209">
        <v>292</v>
      </c>
      <c r="Z29" s="107">
        <f t="shared" si="3"/>
        <v>78840</v>
      </c>
      <c r="AA29" s="617"/>
      <c r="AB29" s="590"/>
      <c r="AC29" s="590"/>
      <c r="AD29" s="590"/>
      <c r="AE29" s="582"/>
      <c r="AF29" s="582"/>
      <c r="AG29" s="211">
        <v>7</v>
      </c>
      <c r="AH29" s="210">
        <v>4</v>
      </c>
      <c r="AI29" s="210">
        <f t="shared" si="4"/>
        <v>3</v>
      </c>
      <c r="AJ29" s="210">
        <v>210</v>
      </c>
      <c r="AK29" s="212"/>
    </row>
    <row r="30" spans="1:37">
      <c r="A30" s="616" t="s">
        <v>268</v>
      </c>
      <c r="B30" s="62" t="s">
        <v>272</v>
      </c>
      <c r="C30" s="62">
        <v>362</v>
      </c>
      <c r="D30" s="200">
        <v>1.65</v>
      </c>
      <c r="E30" s="209">
        <v>292</v>
      </c>
      <c r="F30" s="107">
        <f t="shared" si="1"/>
        <v>174411.59999999998</v>
      </c>
      <c r="G30" s="621">
        <f>4067/8849*H30</f>
        <v>830.03751836365689</v>
      </c>
      <c r="H30" s="590">
        <v>1806</v>
      </c>
      <c r="I30" s="618">
        <v>650</v>
      </c>
      <c r="J30" s="590">
        <f>G30/H30*SUM(C30:C33)*I30</f>
        <v>270658.41338004294</v>
      </c>
      <c r="K30" s="582">
        <f>J30+SUM(F30:F33)</f>
        <v>718265.21338004293</v>
      </c>
      <c r="L30" s="582">
        <f>K30/SUM(C30:C33)</f>
        <v>792.78721123625053</v>
      </c>
      <c r="M30" s="211">
        <v>24</v>
      </c>
      <c r="N30" s="212">
        <v>12</v>
      </c>
      <c r="O30" s="206">
        <f t="shared" si="2"/>
        <v>12</v>
      </c>
      <c r="P30" s="62">
        <v>722</v>
      </c>
      <c r="R30">
        <f t="shared" si="0"/>
        <v>362</v>
      </c>
      <c r="U30" s="616" t="s">
        <v>268</v>
      </c>
      <c r="V30" s="62" t="s">
        <v>272</v>
      </c>
      <c r="W30" s="62">
        <v>360</v>
      </c>
      <c r="X30" s="200">
        <v>1.65</v>
      </c>
      <c r="Y30" s="209">
        <v>292</v>
      </c>
      <c r="Z30" s="107">
        <f t="shared" si="3"/>
        <v>173448</v>
      </c>
      <c r="AA30" s="617">
        <f>4067/8849*AB30</f>
        <v>830.03751836365689</v>
      </c>
      <c r="AB30" s="590">
        <v>1806</v>
      </c>
      <c r="AC30" s="625">
        <v>650</v>
      </c>
      <c r="AD30" s="590">
        <f>AA30/AB30*SUM(W30:W33)*AC30</f>
        <v>268865.97355633404</v>
      </c>
      <c r="AE30" s="582">
        <f>AD30+SUM(Z30:Z33)</f>
        <v>712997.97355633404</v>
      </c>
      <c r="AF30" s="582">
        <f>AE30/SUM(W30:W33)</f>
        <v>792.21997061814898</v>
      </c>
      <c r="AG30" s="211">
        <v>24</v>
      </c>
      <c r="AH30" s="210">
        <v>12</v>
      </c>
      <c r="AI30" s="210">
        <f t="shared" si="4"/>
        <v>12</v>
      </c>
      <c r="AJ30" s="62">
        <v>722</v>
      </c>
      <c r="AK30" s="219"/>
    </row>
    <row r="31" spans="1:37">
      <c r="A31" s="616"/>
      <c r="B31" s="62" t="s">
        <v>95</v>
      </c>
      <c r="C31" s="62">
        <v>201</v>
      </c>
      <c r="D31" s="200">
        <v>1.75</v>
      </c>
      <c r="E31" s="209">
        <v>292</v>
      </c>
      <c r="F31" s="107">
        <f t="shared" si="1"/>
        <v>102711</v>
      </c>
      <c r="G31" s="621"/>
      <c r="H31" s="590"/>
      <c r="I31" s="619"/>
      <c r="J31" s="590"/>
      <c r="K31" s="582"/>
      <c r="L31" s="582"/>
      <c r="M31" s="211">
        <v>14</v>
      </c>
      <c r="N31" s="212">
        <v>7</v>
      </c>
      <c r="O31" s="206">
        <f t="shared" si="2"/>
        <v>7</v>
      </c>
      <c r="P31" s="62">
        <v>411</v>
      </c>
      <c r="R31">
        <f t="shared" si="0"/>
        <v>201</v>
      </c>
      <c r="U31" s="616"/>
      <c r="V31" s="62" t="s">
        <v>95</v>
      </c>
      <c r="W31" s="62">
        <v>210</v>
      </c>
      <c r="X31" s="200">
        <v>1.75</v>
      </c>
      <c r="Y31" s="209">
        <v>292</v>
      </c>
      <c r="Z31" s="107">
        <f t="shared" si="3"/>
        <v>107310</v>
      </c>
      <c r="AA31" s="617"/>
      <c r="AB31" s="590"/>
      <c r="AC31" s="625"/>
      <c r="AD31" s="590"/>
      <c r="AE31" s="582"/>
      <c r="AF31" s="582"/>
      <c r="AG31" s="211">
        <v>14</v>
      </c>
      <c r="AH31" s="210">
        <v>7</v>
      </c>
      <c r="AI31" s="210">
        <f t="shared" si="4"/>
        <v>7</v>
      </c>
      <c r="AJ31" s="62">
        <v>411</v>
      </c>
      <c r="AK31" s="219"/>
    </row>
    <row r="32" spans="1:37">
      <c r="A32" s="616"/>
      <c r="B32" s="62" t="s">
        <v>96</v>
      </c>
      <c r="C32" s="62">
        <v>164</v>
      </c>
      <c r="D32" s="200">
        <v>1.65</v>
      </c>
      <c r="E32" s="209">
        <v>292</v>
      </c>
      <c r="F32" s="107">
        <f t="shared" si="1"/>
        <v>79015.199999999997</v>
      </c>
      <c r="G32" s="621"/>
      <c r="H32" s="590"/>
      <c r="I32" s="619"/>
      <c r="J32" s="590"/>
      <c r="K32" s="582"/>
      <c r="L32" s="582"/>
      <c r="M32" s="211">
        <v>12</v>
      </c>
      <c r="N32" s="212">
        <v>6</v>
      </c>
      <c r="O32" s="206">
        <f t="shared" si="2"/>
        <v>6</v>
      </c>
      <c r="P32" s="62">
        <v>344</v>
      </c>
      <c r="R32">
        <f t="shared" si="0"/>
        <v>164</v>
      </c>
      <c r="U32" s="616"/>
      <c r="V32" s="62" t="s">
        <v>96</v>
      </c>
      <c r="W32" s="62">
        <v>180</v>
      </c>
      <c r="X32" s="200">
        <v>1.65</v>
      </c>
      <c r="Y32" s="209">
        <v>292</v>
      </c>
      <c r="Z32" s="107">
        <f t="shared" si="3"/>
        <v>86724</v>
      </c>
      <c r="AA32" s="617"/>
      <c r="AB32" s="590"/>
      <c r="AC32" s="625"/>
      <c r="AD32" s="590"/>
      <c r="AE32" s="582"/>
      <c r="AF32" s="582"/>
      <c r="AG32" s="211">
        <v>12</v>
      </c>
      <c r="AH32" s="210">
        <v>6</v>
      </c>
      <c r="AI32" s="210">
        <f t="shared" si="4"/>
        <v>6</v>
      </c>
      <c r="AJ32" s="62">
        <v>344</v>
      </c>
      <c r="AK32" s="219"/>
    </row>
    <row r="33" spans="1:37">
      <c r="A33" s="616"/>
      <c r="B33" s="62" t="s">
        <v>97</v>
      </c>
      <c r="C33" s="62">
        <v>179</v>
      </c>
      <c r="D33" s="200">
        <v>1.75</v>
      </c>
      <c r="E33" s="209">
        <v>292</v>
      </c>
      <c r="F33" s="107">
        <f t="shared" si="1"/>
        <v>91469</v>
      </c>
      <c r="G33" s="621"/>
      <c r="H33" s="590"/>
      <c r="I33" s="620"/>
      <c r="J33" s="590"/>
      <c r="K33" s="582"/>
      <c r="L33" s="582"/>
      <c r="M33" s="211">
        <v>11</v>
      </c>
      <c r="N33" s="212">
        <v>6</v>
      </c>
      <c r="O33" s="206">
        <f t="shared" si="2"/>
        <v>5</v>
      </c>
      <c r="P33" s="62">
        <v>329</v>
      </c>
      <c r="R33">
        <f t="shared" si="0"/>
        <v>179</v>
      </c>
      <c r="U33" s="616"/>
      <c r="V33" s="62" t="s">
        <v>97</v>
      </c>
      <c r="W33" s="62">
        <v>150</v>
      </c>
      <c r="X33" s="200">
        <v>1.75</v>
      </c>
      <c r="Y33" s="209">
        <v>292</v>
      </c>
      <c r="Z33" s="107">
        <f t="shared" si="3"/>
        <v>76650</v>
      </c>
      <c r="AA33" s="617"/>
      <c r="AB33" s="590"/>
      <c r="AC33" s="625"/>
      <c r="AD33" s="590"/>
      <c r="AE33" s="582"/>
      <c r="AF33" s="582"/>
      <c r="AG33" s="211">
        <v>11</v>
      </c>
      <c r="AH33" s="210">
        <v>6</v>
      </c>
      <c r="AI33" s="210">
        <f t="shared" si="4"/>
        <v>5</v>
      </c>
      <c r="AJ33" s="62">
        <v>329</v>
      </c>
      <c r="AK33" s="219"/>
    </row>
    <row r="34" spans="1:37" ht="15" customHeight="1">
      <c r="A34" s="616" t="s">
        <v>269</v>
      </c>
      <c r="B34" s="206" t="s">
        <v>94</v>
      </c>
      <c r="C34" s="206">
        <v>144</v>
      </c>
      <c r="D34" s="201">
        <v>3</v>
      </c>
      <c r="E34" s="209">
        <v>292</v>
      </c>
      <c r="F34" s="107">
        <f t="shared" si="1"/>
        <v>126144</v>
      </c>
      <c r="G34" s="622">
        <v>454</v>
      </c>
      <c r="H34" s="540">
        <v>587</v>
      </c>
      <c r="I34" s="540">
        <v>650</v>
      </c>
      <c r="J34" s="590">
        <f>G34/H34*SUM(C34:C35)*I34</f>
        <v>144282.28279386714</v>
      </c>
      <c r="K34" s="582">
        <f>J34+SUM(F34:F35)</f>
        <v>395694.28279386717</v>
      </c>
      <c r="L34" s="582">
        <f>K34/SUM(C34:C35)</f>
        <v>1378.7257240204431</v>
      </c>
      <c r="M34" s="211">
        <v>10</v>
      </c>
      <c r="N34" s="212">
        <v>5</v>
      </c>
      <c r="O34" s="206">
        <f t="shared" si="2"/>
        <v>5</v>
      </c>
      <c r="P34" s="206">
        <v>294</v>
      </c>
      <c r="R34">
        <f t="shared" si="0"/>
        <v>144</v>
      </c>
      <c r="U34" s="616" t="s">
        <v>269</v>
      </c>
      <c r="V34" s="210" t="s">
        <v>94</v>
      </c>
      <c r="W34" s="210">
        <v>150</v>
      </c>
      <c r="X34" s="201">
        <v>3</v>
      </c>
      <c r="Y34" s="209">
        <v>292</v>
      </c>
      <c r="Z34" s="107">
        <f t="shared" si="3"/>
        <v>131400</v>
      </c>
      <c r="AA34" s="626">
        <v>454</v>
      </c>
      <c r="AB34" s="590">
        <v>587</v>
      </c>
      <c r="AC34" s="590">
        <v>650</v>
      </c>
      <c r="AD34" s="590">
        <f>AA34/AB34*SUM(W34:W35)*AC34</f>
        <v>150817.71720613289</v>
      </c>
      <c r="AE34" s="582">
        <f>AD34+SUM(Z34:Z35)</f>
        <v>413617.71720613289</v>
      </c>
      <c r="AF34" s="582">
        <f>AE34/SUM(W34:W35)</f>
        <v>1378.7257240204431</v>
      </c>
      <c r="AG34" s="211">
        <v>10</v>
      </c>
      <c r="AH34" s="210">
        <v>5</v>
      </c>
      <c r="AI34" s="210">
        <f t="shared" si="4"/>
        <v>5</v>
      </c>
      <c r="AJ34" s="210">
        <v>294</v>
      </c>
      <c r="AK34" s="212"/>
    </row>
    <row r="35" spans="1:37" ht="21" customHeight="1">
      <c r="A35" s="616"/>
      <c r="B35" s="206" t="s">
        <v>97</v>
      </c>
      <c r="C35" s="206">
        <v>143</v>
      </c>
      <c r="D35" s="201">
        <v>3</v>
      </c>
      <c r="E35" s="209">
        <v>292</v>
      </c>
      <c r="F35" s="107">
        <f t="shared" si="1"/>
        <v>125268</v>
      </c>
      <c r="G35" s="623"/>
      <c r="H35" s="541"/>
      <c r="I35" s="541"/>
      <c r="J35" s="590"/>
      <c r="K35" s="582"/>
      <c r="L35" s="582"/>
      <c r="M35" s="211">
        <v>10</v>
      </c>
      <c r="N35" s="203">
        <v>5</v>
      </c>
      <c r="O35" s="203">
        <f t="shared" si="2"/>
        <v>5</v>
      </c>
      <c r="P35" s="206">
        <v>293</v>
      </c>
      <c r="R35">
        <f t="shared" si="0"/>
        <v>143</v>
      </c>
      <c r="U35" s="616"/>
      <c r="V35" s="210" t="s">
        <v>97</v>
      </c>
      <c r="W35" s="210">
        <v>150</v>
      </c>
      <c r="X35" s="201">
        <v>3</v>
      </c>
      <c r="Y35" s="209">
        <v>292</v>
      </c>
      <c r="Z35" s="107">
        <f t="shared" si="3"/>
        <v>131400</v>
      </c>
      <c r="AA35" s="626"/>
      <c r="AB35" s="590"/>
      <c r="AC35" s="590"/>
      <c r="AD35" s="590"/>
      <c r="AE35" s="582"/>
      <c r="AF35" s="582"/>
      <c r="AG35" s="211">
        <v>10</v>
      </c>
      <c r="AH35" s="207">
        <v>5</v>
      </c>
      <c r="AI35" s="207">
        <f t="shared" si="4"/>
        <v>5</v>
      </c>
      <c r="AJ35" s="210">
        <v>293</v>
      </c>
      <c r="AK35" s="212"/>
    </row>
    <row r="36" spans="1:37" ht="15.75">
      <c r="A36" s="203" t="s">
        <v>4</v>
      </c>
      <c r="B36" s="203"/>
      <c r="C36" s="203">
        <f>SUM(C3:C35)</f>
        <v>10783.5</v>
      </c>
      <c r="D36" s="203"/>
      <c r="E36" s="203"/>
      <c r="F36" s="204">
        <f>SUM(F3:F34)</f>
        <v>4987768.8</v>
      </c>
      <c r="G36" s="215">
        <f>SUM(G3:G35)</f>
        <v>10542.080713206064</v>
      </c>
      <c r="H36" s="205">
        <f>SUM(H3:H34)</f>
        <v>21084</v>
      </c>
      <c r="I36" s="203"/>
      <c r="J36" s="205">
        <f>SUM(J3:J34)</f>
        <v>3502905.1263576131</v>
      </c>
      <c r="K36" s="204">
        <f>SUM(K3:K34)</f>
        <v>8615941.926357612</v>
      </c>
      <c r="L36" s="203"/>
      <c r="M36" s="187">
        <f>SUM(M3:M35)</f>
        <v>715</v>
      </c>
      <c r="N36" s="187">
        <f>SUM(N3:N35)</f>
        <v>370</v>
      </c>
      <c r="O36" s="187">
        <f>SUM(O3:O35)</f>
        <v>345</v>
      </c>
      <c r="P36" s="203">
        <f>SUM(P3:P35)</f>
        <v>21084</v>
      </c>
      <c r="U36" s="2" t="s">
        <v>4</v>
      </c>
      <c r="V36" s="1"/>
      <c r="W36" s="2">
        <f>SUM(W3:W35)</f>
        <v>10300.5</v>
      </c>
      <c r="X36" s="1"/>
      <c r="Y36" s="1"/>
      <c r="Z36" s="97">
        <f>SUM(Z3:Z34)</f>
        <v>4694892.8000000007</v>
      </c>
      <c r="AA36" s="27">
        <f>SUM(AA3:AA35)</f>
        <v>10542.080713206064</v>
      </c>
      <c r="AB36" s="98">
        <f>SUM(AB3:AB34)</f>
        <v>21084</v>
      </c>
      <c r="AC36" s="1"/>
      <c r="AD36" s="98">
        <f>SUM(AD3:AD34)</f>
        <v>3349447.3372263284</v>
      </c>
      <c r="AE36" s="97">
        <f>SUM(AE3:AE34)</f>
        <v>8175740.1372263283</v>
      </c>
      <c r="AF36" s="1"/>
      <c r="AG36" s="187">
        <f>SUM(AG3:AG35)</f>
        <v>715</v>
      </c>
      <c r="AH36" s="187">
        <f>SUM(AH3:AH35)</f>
        <v>371</v>
      </c>
      <c r="AI36" s="187">
        <f>SUM(AI3:AI35)</f>
        <v>344</v>
      </c>
      <c r="AJ36" s="207">
        <f>SUM(AJ3:AJ35)</f>
        <v>21084</v>
      </c>
    </row>
    <row r="37" spans="1:37">
      <c r="K37" s="39">
        <f>K36+AE36</f>
        <v>16791682.06358394</v>
      </c>
      <c r="U37" s="1"/>
      <c r="V37" s="1"/>
      <c r="W37" s="1"/>
      <c r="X37" s="1"/>
      <c r="Y37" s="558" t="s">
        <v>233</v>
      </c>
      <c r="Z37" s="558"/>
      <c r="AA37" s="27">
        <f>AE36+AE37</f>
        <v>8257497.5385985915</v>
      </c>
      <c r="AB37" s="1"/>
      <c r="AC37" s="558" t="s">
        <v>276</v>
      </c>
      <c r="AD37" s="558"/>
      <c r="AE37" s="2">
        <f>AE36*1%</f>
        <v>81757.401372263281</v>
      </c>
      <c r="AF37" s="1"/>
      <c r="AG37" s="1"/>
      <c r="AH37" s="1"/>
      <c r="AI37" s="1"/>
      <c r="AJ37" s="1"/>
    </row>
  </sheetData>
  <mergeCells count="102">
    <mergeCell ref="AE22:AE25"/>
    <mergeCell ref="AF22:AF25"/>
    <mergeCell ref="U26:U29"/>
    <mergeCell ref="AA26:AA29"/>
    <mergeCell ref="AB26:AB29"/>
    <mergeCell ref="AC26:AC29"/>
    <mergeCell ref="AD26:AD29"/>
    <mergeCell ref="AE34:AE35"/>
    <mergeCell ref="AF34:AF35"/>
    <mergeCell ref="AE26:AE29"/>
    <mergeCell ref="AF26:AF29"/>
    <mergeCell ref="U30:U33"/>
    <mergeCell ref="AA30:AA33"/>
    <mergeCell ref="AB30:AB33"/>
    <mergeCell ref="AC30:AC33"/>
    <mergeCell ref="AD30:AD33"/>
    <mergeCell ref="AE30:AE33"/>
    <mergeCell ref="AF30:AF33"/>
    <mergeCell ref="U34:U35"/>
    <mergeCell ref="AA34:AA35"/>
    <mergeCell ref="AB34:AB35"/>
    <mergeCell ref="AC34:AC35"/>
    <mergeCell ref="AD34:AD35"/>
    <mergeCell ref="AE12:AE15"/>
    <mergeCell ref="AF12:AF15"/>
    <mergeCell ref="U16:U21"/>
    <mergeCell ref="AA16:AA21"/>
    <mergeCell ref="AB16:AB21"/>
    <mergeCell ref="AC16:AC21"/>
    <mergeCell ref="AD16:AD21"/>
    <mergeCell ref="AE16:AE21"/>
    <mergeCell ref="AF16:AF21"/>
    <mergeCell ref="U1:AG1"/>
    <mergeCell ref="U3:U10"/>
    <mergeCell ref="AA3:AA10"/>
    <mergeCell ref="AB3:AB10"/>
    <mergeCell ref="AC3:AC10"/>
    <mergeCell ref="AD3:AD10"/>
    <mergeCell ref="AE3:AE10"/>
    <mergeCell ref="AF3:AF10"/>
    <mergeCell ref="A1:M1"/>
    <mergeCell ref="A3:A10"/>
    <mergeCell ref="A12:A15"/>
    <mergeCell ref="H3:H10"/>
    <mergeCell ref="H12:H15"/>
    <mergeCell ref="G3:G10"/>
    <mergeCell ref="G12:G15"/>
    <mergeCell ref="I3:I10"/>
    <mergeCell ref="I12:I15"/>
    <mergeCell ref="K3:K10"/>
    <mergeCell ref="K12:K15"/>
    <mergeCell ref="A16:A21"/>
    <mergeCell ref="A22:A25"/>
    <mergeCell ref="H16:H21"/>
    <mergeCell ref="H22:H25"/>
    <mergeCell ref="G16:G21"/>
    <mergeCell ref="G22:G25"/>
    <mergeCell ref="I16:I21"/>
    <mergeCell ref="I22:I25"/>
    <mergeCell ref="K16:K21"/>
    <mergeCell ref="K22:K25"/>
    <mergeCell ref="A26:A29"/>
    <mergeCell ref="A30:A33"/>
    <mergeCell ref="H26:H29"/>
    <mergeCell ref="H30:H33"/>
    <mergeCell ref="A34:A35"/>
    <mergeCell ref="G26:G29"/>
    <mergeCell ref="G30:G33"/>
    <mergeCell ref="G34:G35"/>
    <mergeCell ref="H34:H35"/>
    <mergeCell ref="I26:I29"/>
    <mergeCell ref="I30:I33"/>
    <mergeCell ref="I34:I35"/>
    <mergeCell ref="J34:J35"/>
    <mergeCell ref="K26:K29"/>
    <mergeCell ref="K30:K33"/>
    <mergeCell ref="K34:K35"/>
    <mergeCell ref="J3:J10"/>
    <mergeCell ref="J12:J15"/>
    <mergeCell ref="J16:J21"/>
    <mergeCell ref="J22:J25"/>
    <mergeCell ref="J26:J29"/>
    <mergeCell ref="J30:J33"/>
    <mergeCell ref="L34:L35"/>
    <mergeCell ref="L3:L10"/>
    <mergeCell ref="L12:L15"/>
    <mergeCell ref="L16:L21"/>
    <mergeCell ref="L22:L25"/>
    <mergeCell ref="L26:L29"/>
    <mergeCell ref="L30:L33"/>
    <mergeCell ref="AC37:AD37"/>
    <mergeCell ref="Y37:Z37"/>
    <mergeCell ref="U12:U15"/>
    <mergeCell ref="AA12:AA15"/>
    <mergeCell ref="AB12:AB15"/>
    <mergeCell ref="AC12:AC15"/>
    <mergeCell ref="AD12:AD15"/>
    <mergeCell ref="U22:U25"/>
    <mergeCell ref="AA22:AA25"/>
    <mergeCell ref="AB22:AB25"/>
    <mergeCell ref="AC22:AC25"/>
    <mergeCell ref="AD22:AD25"/>
  </mergeCells>
  <pageMargins left="0.14000000000000001" right="0.14000000000000001" top="0.15" bottom="0.14000000000000001" header="0.15" footer="0.14000000000000001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6"/>
  <sheetViews>
    <sheetView topLeftCell="O15" workbookViewId="0">
      <selection activeCell="T36" sqref="T36"/>
    </sheetView>
  </sheetViews>
  <sheetFormatPr defaultRowHeight="15"/>
  <cols>
    <col min="2" max="2" width="11.5703125" bestFit="1" customWidth="1"/>
    <col min="5" max="5" width="13" customWidth="1"/>
    <col min="6" max="6" width="12.42578125" customWidth="1"/>
    <col min="7" max="7" width="11.5703125" customWidth="1"/>
    <col min="8" max="8" width="11" customWidth="1"/>
    <col min="9" max="9" width="10.85546875" customWidth="1"/>
    <col min="12" max="12" width="8" customWidth="1"/>
    <col min="13" max="13" width="6.85546875" customWidth="1"/>
    <col min="21" max="21" width="11.5703125" bestFit="1" customWidth="1"/>
  </cols>
  <sheetData>
    <row r="1" spans="1:34" ht="28.5">
      <c r="A1" s="605" t="s">
        <v>265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159">
        <v>45033</v>
      </c>
      <c r="O1" s="1"/>
      <c r="P1" s="1"/>
      <c r="T1" s="605" t="s">
        <v>274</v>
      </c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159">
        <v>45033</v>
      </c>
      <c r="AH1" s="1"/>
    </row>
    <row r="2" spans="1:34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126</v>
      </c>
      <c r="O2" s="105" t="s">
        <v>250</v>
      </c>
      <c r="P2" s="105"/>
      <c r="T2" s="100" t="s">
        <v>0</v>
      </c>
      <c r="U2" s="100" t="s">
        <v>140</v>
      </c>
      <c r="V2" s="101" t="s">
        <v>123</v>
      </c>
      <c r="W2" s="101" t="s">
        <v>2</v>
      </c>
      <c r="X2" s="101" t="s">
        <v>3</v>
      </c>
      <c r="Y2" s="102" t="s">
        <v>4</v>
      </c>
      <c r="Z2" s="103" t="s">
        <v>5</v>
      </c>
      <c r="AA2" s="103" t="s">
        <v>6</v>
      </c>
      <c r="AB2" s="103" t="s">
        <v>7</v>
      </c>
      <c r="AC2" s="101" t="s">
        <v>8</v>
      </c>
      <c r="AD2" s="104" t="s">
        <v>9</v>
      </c>
      <c r="AE2" s="103" t="s">
        <v>10</v>
      </c>
      <c r="AF2" s="105" t="s">
        <v>125</v>
      </c>
      <c r="AG2" s="105" t="s">
        <v>126</v>
      </c>
      <c r="AH2" s="105" t="s">
        <v>250</v>
      </c>
    </row>
    <row r="3" spans="1:34" ht="38.25">
      <c r="A3" s="228" t="s">
        <v>277</v>
      </c>
      <c r="B3" s="227" t="s">
        <v>188</v>
      </c>
      <c r="C3" s="227">
        <v>1980</v>
      </c>
      <c r="D3" s="231">
        <v>1.8</v>
      </c>
      <c r="E3" s="222">
        <v>300</v>
      </c>
      <c r="F3" s="107">
        <f>C3*D3*E3</f>
        <v>1069200</v>
      </c>
      <c r="G3" s="232">
        <v>1735</v>
      </c>
      <c r="H3" s="98">
        <v>1980</v>
      </c>
      <c r="I3" s="98">
        <v>638</v>
      </c>
      <c r="J3" s="98">
        <f>G3/H3*SUM(C3)*I3</f>
        <v>1106930</v>
      </c>
      <c r="K3" s="97">
        <f>J3+SUM(F3)</f>
        <v>2176130</v>
      </c>
      <c r="L3" s="221">
        <f>K3/SUM(C3)</f>
        <v>1099.0555555555557</v>
      </c>
      <c r="M3" s="226">
        <v>66</v>
      </c>
      <c r="N3" s="223">
        <f>M3/2</f>
        <v>33</v>
      </c>
      <c r="O3" s="223">
        <f>M3-N3</f>
        <v>33</v>
      </c>
      <c r="P3" s="217"/>
      <c r="T3" s="240" t="s">
        <v>277</v>
      </c>
      <c r="U3" s="239" t="s">
        <v>188</v>
      </c>
      <c r="V3" s="239">
        <v>990</v>
      </c>
      <c r="W3" s="231">
        <v>1.8</v>
      </c>
      <c r="X3" s="236">
        <v>300</v>
      </c>
      <c r="Y3" s="107">
        <f>V3*W3*X3</f>
        <v>534600</v>
      </c>
      <c r="Z3" s="238">
        <v>1735</v>
      </c>
      <c r="AA3" s="242">
        <v>1980</v>
      </c>
      <c r="AB3" s="242">
        <v>638</v>
      </c>
      <c r="AC3" s="98">
        <f>Z3/AA3*SUM(V3)*AB3</f>
        <v>553465</v>
      </c>
      <c r="AD3" s="97">
        <f>AC3+SUM(Y3)</f>
        <v>1088065</v>
      </c>
      <c r="AE3" s="235">
        <f>AD3/SUM(V3)</f>
        <v>1099.0555555555557</v>
      </c>
      <c r="AF3" s="226">
        <v>66</v>
      </c>
      <c r="AG3" s="237">
        <f>AF3/2</f>
        <v>33</v>
      </c>
      <c r="AH3" s="237">
        <f>AF3-AG3</f>
        <v>33</v>
      </c>
    </row>
    <row r="4" spans="1:34">
      <c r="A4" s="628" t="s">
        <v>278</v>
      </c>
      <c r="B4" s="227" t="s">
        <v>150</v>
      </c>
      <c r="C4" s="227">
        <v>558</v>
      </c>
      <c r="D4" s="231">
        <v>0.76</v>
      </c>
      <c r="E4" s="222">
        <v>300</v>
      </c>
      <c r="F4" s="107">
        <f t="shared" ref="F4:F10" si="0">C4*D4*E4</f>
        <v>127224</v>
      </c>
      <c r="G4" s="631">
        <v>1350</v>
      </c>
      <c r="H4" s="590">
        <v>4029</v>
      </c>
      <c r="I4" s="590">
        <v>638</v>
      </c>
      <c r="J4" s="590">
        <f>G4/H4*SUM(C4:C9)*I4</f>
        <v>861300</v>
      </c>
      <c r="K4" s="582">
        <f>J4+SUM(F4:F9)</f>
        <v>1779912</v>
      </c>
      <c r="L4" s="582">
        <f>K4/SUM(C4:C9)</f>
        <v>441.77513030528667</v>
      </c>
      <c r="M4" s="226">
        <v>19</v>
      </c>
      <c r="N4" s="223">
        <v>10</v>
      </c>
      <c r="O4" s="223">
        <f t="shared" ref="O4:O34" si="1">M4-N4</f>
        <v>9</v>
      </c>
      <c r="P4" s="217"/>
      <c r="T4" s="628" t="s">
        <v>278</v>
      </c>
      <c r="U4" s="239" t="s">
        <v>150</v>
      </c>
      <c r="V4" s="239">
        <v>270</v>
      </c>
      <c r="W4" s="231">
        <v>0.76</v>
      </c>
      <c r="X4" s="236">
        <v>300</v>
      </c>
      <c r="Y4" s="107">
        <f>V4*W4*X4</f>
        <v>61560</v>
      </c>
      <c r="Z4" s="631">
        <v>1350</v>
      </c>
      <c r="AA4" s="590">
        <v>4029</v>
      </c>
      <c r="AB4" s="590">
        <v>638</v>
      </c>
      <c r="AC4" s="590">
        <f>Z4/AA4*SUM(V4:V9)*AB4</f>
        <v>423274.75800446759</v>
      </c>
      <c r="AD4" s="582">
        <f>AC4+SUM(Y4:Y9)</f>
        <v>874714.75800446759</v>
      </c>
      <c r="AE4" s="582">
        <f>AD4/SUM(V4:V9)</f>
        <v>441.77513030528667</v>
      </c>
      <c r="AF4" s="226">
        <v>19</v>
      </c>
      <c r="AG4" s="237">
        <v>10</v>
      </c>
      <c r="AH4" s="237">
        <f t="shared" ref="AH4:AH34" si="2">AF4-AG4</f>
        <v>9</v>
      </c>
    </row>
    <row r="5" spans="1:34">
      <c r="A5" s="628"/>
      <c r="B5" s="227" t="s">
        <v>272</v>
      </c>
      <c r="C5" s="227">
        <v>625</v>
      </c>
      <c r="D5" s="231">
        <v>0.76</v>
      </c>
      <c r="E5" s="222">
        <v>300</v>
      </c>
      <c r="F5" s="107">
        <f t="shared" si="0"/>
        <v>142500</v>
      </c>
      <c r="G5" s="631"/>
      <c r="H5" s="590"/>
      <c r="I5" s="590"/>
      <c r="J5" s="590"/>
      <c r="K5" s="582"/>
      <c r="L5" s="582"/>
      <c r="M5" s="226">
        <v>21</v>
      </c>
      <c r="N5" s="223">
        <v>11</v>
      </c>
      <c r="O5" s="223">
        <f t="shared" si="1"/>
        <v>10</v>
      </c>
      <c r="P5" s="217"/>
      <c r="T5" s="628"/>
      <c r="U5" s="239" t="s">
        <v>272</v>
      </c>
      <c r="V5" s="239">
        <v>300</v>
      </c>
      <c r="W5" s="231">
        <v>0.76</v>
      </c>
      <c r="X5" s="236">
        <v>300</v>
      </c>
      <c r="Y5" s="107">
        <f>V5*W5*X5</f>
        <v>68400</v>
      </c>
      <c r="Z5" s="631"/>
      <c r="AA5" s="590"/>
      <c r="AB5" s="590"/>
      <c r="AC5" s="590"/>
      <c r="AD5" s="582"/>
      <c r="AE5" s="582"/>
      <c r="AF5" s="226">
        <v>21</v>
      </c>
      <c r="AG5" s="237">
        <v>11</v>
      </c>
      <c r="AH5" s="237">
        <f t="shared" si="2"/>
        <v>10</v>
      </c>
    </row>
    <row r="6" spans="1:34">
      <c r="A6" s="628"/>
      <c r="B6" s="227" t="s">
        <v>95</v>
      </c>
      <c r="C6" s="227">
        <v>1195</v>
      </c>
      <c r="D6" s="231">
        <v>0.76</v>
      </c>
      <c r="E6" s="222">
        <v>300</v>
      </c>
      <c r="F6" s="107">
        <f t="shared" si="0"/>
        <v>272460</v>
      </c>
      <c r="G6" s="631"/>
      <c r="H6" s="590"/>
      <c r="I6" s="590"/>
      <c r="J6" s="590"/>
      <c r="K6" s="582"/>
      <c r="L6" s="582"/>
      <c r="M6" s="226">
        <v>40</v>
      </c>
      <c r="N6" s="223">
        <f t="shared" ref="N6:N33" si="3">M6/2</f>
        <v>20</v>
      </c>
      <c r="O6" s="223">
        <f t="shared" si="1"/>
        <v>20</v>
      </c>
      <c r="P6" s="217"/>
      <c r="T6" s="628"/>
      <c r="U6" s="239" t="s">
        <v>95</v>
      </c>
      <c r="V6" s="239">
        <v>600</v>
      </c>
      <c r="W6" s="231">
        <v>0.76</v>
      </c>
      <c r="X6" s="236">
        <v>300</v>
      </c>
      <c r="Y6" s="107">
        <f t="shared" ref="Y6:Y34" si="4">V6*W6*X6</f>
        <v>136800</v>
      </c>
      <c r="Z6" s="631"/>
      <c r="AA6" s="590"/>
      <c r="AB6" s="590"/>
      <c r="AC6" s="590"/>
      <c r="AD6" s="582"/>
      <c r="AE6" s="582"/>
      <c r="AF6" s="226">
        <v>40</v>
      </c>
      <c r="AG6" s="237">
        <f t="shared" ref="AG6" si="5">AF6/2</f>
        <v>20</v>
      </c>
      <c r="AH6" s="237">
        <f t="shared" si="2"/>
        <v>20</v>
      </c>
    </row>
    <row r="7" spans="1:34">
      <c r="A7" s="628"/>
      <c r="B7" s="227" t="s">
        <v>96</v>
      </c>
      <c r="C7" s="227">
        <v>783</v>
      </c>
      <c r="D7" s="231">
        <v>0.76</v>
      </c>
      <c r="E7" s="222">
        <v>300</v>
      </c>
      <c r="F7" s="107">
        <f t="shared" si="0"/>
        <v>178524</v>
      </c>
      <c r="G7" s="631"/>
      <c r="H7" s="590"/>
      <c r="I7" s="590"/>
      <c r="J7" s="590"/>
      <c r="K7" s="582"/>
      <c r="L7" s="582"/>
      <c r="M7" s="226">
        <v>27</v>
      </c>
      <c r="N7" s="223">
        <v>14</v>
      </c>
      <c r="O7" s="223">
        <f t="shared" si="1"/>
        <v>13</v>
      </c>
      <c r="P7" s="217"/>
      <c r="T7" s="628"/>
      <c r="U7" s="239" t="s">
        <v>96</v>
      </c>
      <c r="V7" s="239">
        <v>390</v>
      </c>
      <c r="W7" s="231">
        <v>0.76</v>
      </c>
      <c r="X7" s="236">
        <v>300</v>
      </c>
      <c r="Y7" s="107">
        <f t="shared" si="4"/>
        <v>88920</v>
      </c>
      <c r="Z7" s="631"/>
      <c r="AA7" s="590"/>
      <c r="AB7" s="590"/>
      <c r="AC7" s="590"/>
      <c r="AD7" s="582"/>
      <c r="AE7" s="582"/>
      <c r="AF7" s="226">
        <v>27</v>
      </c>
      <c r="AG7" s="237">
        <v>14</v>
      </c>
      <c r="AH7" s="237">
        <f t="shared" si="2"/>
        <v>13</v>
      </c>
    </row>
    <row r="8" spans="1:34">
      <c r="A8" s="628"/>
      <c r="B8" s="227" t="s">
        <v>99</v>
      </c>
      <c r="C8" s="227">
        <v>420</v>
      </c>
      <c r="D8" s="231">
        <v>0.76</v>
      </c>
      <c r="E8" s="222">
        <v>300</v>
      </c>
      <c r="F8" s="107">
        <f t="shared" si="0"/>
        <v>95760</v>
      </c>
      <c r="G8" s="631"/>
      <c r="H8" s="590"/>
      <c r="I8" s="590"/>
      <c r="J8" s="590"/>
      <c r="K8" s="582"/>
      <c r="L8" s="582"/>
      <c r="M8" s="226">
        <v>14</v>
      </c>
      <c r="N8" s="223">
        <f t="shared" si="3"/>
        <v>7</v>
      </c>
      <c r="O8" s="223">
        <f t="shared" si="1"/>
        <v>7</v>
      </c>
      <c r="P8" s="217"/>
      <c r="T8" s="628"/>
      <c r="U8" s="239" t="s">
        <v>99</v>
      </c>
      <c r="V8" s="239">
        <v>210</v>
      </c>
      <c r="W8" s="231">
        <v>0.76</v>
      </c>
      <c r="X8" s="236">
        <v>300</v>
      </c>
      <c r="Y8" s="107">
        <f t="shared" si="4"/>
        <v>47880</v>
      </c>
      <c r="Z8" s="631"/>
      <c r="AA8" s="590"/>
      <c r="AB8" s="590"/>
      <c r="AC8" s="590"/>
      <c r="AD8" s="582"/>
      <c r="AE8" s="582"/>
      <c r="AF8" s="226">
        <v>14</v>
      </c>
      <c r="AG8" s="237">
        <f t="shared" ref="AG8" si="6">AF8/2</f>
        <v>7</v>
      </c>
      <c r="AH8" s="237">
        <f t="shared" si="2"/>
        <v>7</v>
      </c>
    </row>
    <row r="9" spans="1:34">
      <c r="A9" s="628"/>
      <c r="B9" s="227" t="s">
        <v>190</v>
      </c>
      <c r="C9" s="227">
        <v>448</v>
      </c>
      <c r="D9" s="231">
        <v>0.76</v>
      </c>
      <c r="E9" s="222">
        <v>300</v>
      </c>
      <c r="F9" s="107">
        <f t="shared" si="0"/>
        <v>102144</v>
      </c>
      <c r="G9" s="631"/>
      <c r="H9" s="590"/>
      <c r="I9" s="590"/>
      <c r="J9" s="590"/>
      <c r="K9" s="582"/>
      <c r="L9" s="582"/>
      <c r="M9" s="226">
        <v>15</v>
      </c>
      <c r="N9" s="223">
        <v>8</v>
      </c>
      <c r="O9" s="223">
        <f t="shared" si="1"/>
        <v>7</v>
      </c>
      <c r="P9" s="217"/>
      <c r="T9" s="628"/>
      <c r="U9" s="239" t="s">
        <v>190</v>
      </c>
      <c r="V9" s="239">
        <v>210</v>
      </c>
      <c r="W9" s="231">
        <v>0.76</v>
      </c>
      <c r="X9" s="236">
        <v>300</v>
      </c>
      <c r="Y9" s="107">
        <f t="shared" si="4"/>
        <v>47880</v>
      </c>
      <c r="Z9" s="631"/>
      <c r="AA9" s="590"/>
      <c r="AB9" s="590"/>
      <c r="AC9" s="590"/>
      <c r="AD9" s="582"/>
      <c r="AE9" s="582"/>
      <c r="AF9" s="226">
        <v>15</v>
      </c>
      <c r="AG9" s="237">
        <v>8</v>
      </c>
      <c r="AH9" s="237">
        <f t="shared" si="2"/>
        <v>7</v>
      </c>
    </row>
    <row r="10" spans="1:34">
      <c r="A10" s="629" t="s">
        <v>109</v>
      </c>
      <c r="B10" s="227" t="s">
        <v>101</v>
      </c>
      <c r="C10" s="227">
        <v>2563</v>
      </c>
      <c r="D10" s="231">
        <v>0.7</v>
      </c>
      <c r="E10" s="222">
        <v>300</v>
      </c>
      <c r="F10" s="107">
        <f t="shared" si="0"/>
        <v>538230</v>
      </c>
      <c r="G10" s="631">
        <v>2600</v>
      </c>
      <c r="H10" s="590">
        <v>7750</v>
      </c>
      <c r="I10" s="590">
        <v>638</v>
      </c>
      <c r="J10" s="590">
        <f>G10/H10*SUM(C10:C17)*I10</f>
        <v>1658800</v>
      </c>
      <c r="K10" s="582">
        <f>J10+SUM(F10:F17)</f>
        <v>3286300</v>
      </c>
      <c r="L10" s="582">
        <f>K10/SUM(C10:C17)</f>
        <v>424.03870967741938</v>
      </c>
      <c r="M10" s="226">
        <v>86</v>
      </c>
      <c r="N10" s="223">
        <f t="shared" si="3"/>
        <v>43</v>
      </c>
      <c r="O10" s="223">
        <f t="shared" si="1"/>
        <v>43</v>
      </c>
      <c r="P10" s="217"/>
      <c r="T10" s="629" t="s">
        <v>109</v>
      </c>
      <c r="U10" s="239" t="s">
        <v>101</v>
      </c>
      <c r="V10" s="239">
        <v>1290</v>
      </c>
      <c r="W10" s="231">
        <v>0.7</v>
      </c>
      <c r="X10" s="236">
        <v>300</v>
      </c>
      <c r="Y10" s="107">
        <f t="shared" si="4"/>
        <v>270899.99999999994</v>
      </c>
      <c r="Z10" s="631">
        <v>2600</v>
      </c>
      <c r="AA10" s="590">
        <v>7750</v>
      </c>
      <c r="AB10" s="590">
        <v>638</v>
      </c>
      <c r="AC10" s="590">
        <f>Z10/AA10*SUM(V10:V17)*AB10</f>
        <v>821908.6451612903</v>
      </c>
      <c r="AD10" s="582">
        <f>AC10+SUM(Y10:Y17)</f>
        <v>1628308.6451612902</v>
      </c>
      <c r="AE10" s="582">
        <f>AD10/SUM(V10:V17)</f>
        <v>424.03870967741932</v>
      </c>
      <c r="AF10" s="226">
        <v>86</v>
      </c>
      <c r="AG10" s="237">
        <f t="shared" ref="AG10:AG12" si="7">AF10/2</f>
        <v>43</v>
      </c>
      <c r="AH10" s="237">
        <f t="shared" si="2"/>
        <v>43</v>
      </c>
    </row>
    <row r="11" spans="1:34">
      <c r="A11" s="629"/>
      <c r="B11" s="227" t="s">
        <v>150</v>
      </c>
      <c r="C11" s="227">
        <v>1320</v>
      </c>
      <c r="D11" s="231">
        <v>0.7</v>
      </c>
      <c r="E11" s="222">
        <v>300</v>
      </c>
      <c r="F11" s="107">
        <f>C11*D11*E11</f>
        <v>277199.99999999994</v>
      </c>
      <c r="G11" s="631"/>
      <c r="H11" s="590"/>
      <c r="I11" s="590"/>
      <c r="J11" s="590"/>
      <c r="K11" s="582"/>
      <c r="L11" s="582"/>
      <c r="M11" s="226">
        <v>44</v>
      </c>
      <c r="N11" s="223">
        <f t="shared" si="3"/>
        <v>22</v>
      </c>
      <c r="O11" s="223">
        <f t="shared" si="1"/>
        <v>22</v>
      </c>
      <c r="P11" s="197"/>
      <c r="T11" s="629"/>
      <c r="U11" s="239" t="s">
        <v>150</v>
      </c>
      <c r="V11" s="239">
        <v>660</v>
      </c>
      <c r="W11" s="231">
        <v>0.7</v>
      </c>
      <c r="X11" s="236">
        <v>300</v>
      </c>
      <c r="Y11" s="107">
        <f t="shared" si="4"/>
        <v>138599.99999999997</v>
      </c>
      <c r="Z11" s="631"/>
      <c r="AA11" s="590"/>
      <c r="AB11" s="590"/>
      <c r="AC11" s="590"/>
      <c r="AD11" s="582"/>
      <c r="AE11" s="582"/>
      <c r="AF11" s="226">
        <v>44</v>
      </c>
      <c r="AG11" s="237">
        <f t="shared" si="7"/>
        <v>22</v>
      </c>
      <c r="AH11" s="237">
        <f t="shared" si="2"/>
        <v>22</v>
      </c>
    </row>
    <row r="12" spans="1:34" ht="15" customHeight="1">
      <c r="A12" s="629"/>
      <c r="B12" s="227" t="s">
        <v>95</v>
      </c>
      <c r="C12" s="227">
        <v>960</v>
      </c>
      <c r="D12" s="231">
        <v>0.7</v>
      </c>
      <c r="E12" s="222">
        <v>300</v>
      </c>
      <c r="F12" s="107">
        <f t="shared" ref="F12:F34" si="8">C12*D12*E12</f>
        <v>201600</v>
      </c>
      <c r="G12" s="631"/>
      <c r="H12" s="590"/>
      <c r="I12" s="590"/>
      <c r="J12" s="590"/>
      <c r="K12" s="582"/>
      <c r="L12" s="582"/>
      <c r="M12" s="226">
        <v>32</v>
      </c>
      <c r="N12" s="223">
        <f t="shared" si="3"/>
        <v>16</v>
      </c>
      <c r="O12" s="223">
        <f t="shared" si="1"/>
        <v>16</v>
      </c>
      <c r="P12" s="217"/>
      <c r="T12" s="629"/>
      <c r="U12" s="239" t="s">
        <v>95</v>
      </c>
      <c r="V12" s="239">
        <v>480</v>
      </c>
      <c r="W12" s="231">
        <v>0.7</v>
      </c>
      <c r="X12" s="236">
        <v>300</v>
      </c>
      <c r="Y12" s="107">
        <f t="shared" si="4"/>
        <v>100800</v>
      </c>
      <c r="Z12" s="631"/>
      <c r="AA12" s="590"/>
      <c r="AB12" s="590"/>
      <c r="AC12" s="590"/>
      <c r="AD12" s="582"/>
      <c r="AE12" s="582"/>
      <c r="AF12" s="226">
        <v>32</v>
      </c>
      <c r="AG12" s="237">
        <f t="shared" si="7"/>
        <v>16</v>
      </c>
      <c r="AH12" s="237">
        <f t="shared" si="2"/>
        <v>16</v>
      </c>
    </row>
    <row r="13" spans="1:34">
      <c r="A13" s="629"/>
      <c r="B13" s="227" t="s">
        <v>102</v>
      </c>
      <c r="C13" s="227">
        <v>450</v>
      </c>
      <c r="D13" s="231">
        <v>0.7</v>
      </c>
      <c r="E13" s="222">
        <v>300</v>
      </c>
      <c r="F13" s="107">
        <f t="shared" si="8"/>
        <v>94500</v>
      </c>
      <c r="G13" s="631"/>
      <c r="H13" s="590"/>
      <c r="I13" s="590"/>
      <c r="J13" s="590"/>
      <c r="K13" s="582"/>
      <c r="L13" s="582"/>
      <c r="M13" s="226">
        <v>15</v>
      </c>
      <c r="N13" s="223">
        <v>8</v>
      </c>
      <c r="O13" s="223">
        <f t="shared" si="1"/>
        <v>7</v>
      </c>
      <c r="P13" s="217"/>
      <c r="T13" s="629"/>
      <c r="U13" s="239" t="s">
        <v>102</v>
      </c>
      <c r="V13" s="239">
        <v>210</v>
      </c>
      <c r="W13" s="231">
        <v>0.7</v>
      </c>
      <c r="X13" s="236">
        <v>300</v>
      </c>
      <c r="Y13" s="107">
        <f t="shared" si="4"/>
        <v>44100</v>
      </c>
      <c r="Z13" s="631"/>
      <c r="AA13" s="590"/>
      <c r="AB13" s="590"/>
      <c r="AC13" s="590"/>
      <c r="AD13" s="582"/>
      <c r="AE13" s="582"/>
      <c r="AF13" s="226">
        <v>15</v>
      </c>
      <c r="AG13" s="237">
        <v>8</v>
      </c>
      <c r="AH13" s="237">
        <f t="shared" si="2"/>
        <v>7</v>
      </c>
    </row>
    <row r="14" spans="1:34">
      <c r="A14" s="629"/>
      <c r="B14" s="227" t="s">
        <v>100</v>
      </c>
      <c r="C14" s="227">
        <v>424</v>
      </c>
      <c r="D14" s="231">
        <v>0.7</v>
      </c>
      <c r="E14" s="222">
        <v>300</v>
      </c>
      <c r="F14" s="107">
        <f t="shared" si="8"/>
        <v>89039.999999999985</v>
      </c>
      <c r="G14" s="631"/>
      <c r="H14" s="590"/>
      <c r="I14" s="590"/>
      <c r="J14" s="590"/>
      <c r="K14" s="582"/>
      <c r="L14" s="582"/>
      <c r="M14" s="226">
        <v>14</v>
      </c>
      <c r="N14" s="223">
        <f t="shared" si="3"/>
        <v>7</v>
      </c>
      <c r="O14" s="223">
        <f t="shared" si="1"/>
        <v>7</v>
      </c>
      <c r="P14" s="217"/>
      <c r="T14" s="629"/>
      <c r="U14" s="239" t="s">
        <v>100</v>
      </c>
      <c r="V14" s="239">
        <v>210</v>
      </c>
      <c r="W14" s="231">
        <v>0.7</v>
      </c>
      <c r="X14" s="236">
        <v>300</v>
      </c>
      <c r="Y14" s="107">
        <f t="shared" si="4"/>
        <v>44100</v>
      </c>
      <c r="Z14" s="631"/>
      <c r="AA14" s="590"/>
      <c r="AB14" s="590"/>
      <c r="AC14" s="590"/>
      <c r="AD14" s="582"/>
      <c r="AE14" s="582"/>
      <c r="AF14" s="226">
        <v>14</v>
      </c>
      <c r="AG14" s="237">
        <f t="shared" ref="AG14" si="9">AF14/2</f>
        <v>7</v>
      </c>
      <c r="AH14" s="237">
        <f t="shared" si="2"/>
        <v>7</v>
      </c>
    </row>
    <row r="15" spans="1:34">
      <c r="A15" s="629"/>
      <c r="B15" s="227" t="s">
        <v>114</v>
      </c>
      <c r="C15" s="227">
        <v>575</v>
      </c>
      <c r="D15" s="231">
        <v>0.7</v>
      </c>
      <c r="E15" s="222">
        <v>300</v>
      </c>
      <c r="F15" s="107">
        <f t="shared" si="8"/>
        <v>120750</v>
      </c>
      <c r="G15" s="631"/>
      <c r="H15" s="590"/>
      <c r="I15" s="590"/>
      <c r="J15" s="590"/>
      <c r="K15" s="582"/>
      <c r="L15" s="582"/>
      <c r="M15" s="226">
        <v>19</v>
      </c>
      <c r="N15" s="223">
        <v>10</v>
      </c>
      <c r="O15" s="223">
        <f t="shared" si="1"/>
        <v>9</v>
      </c>
      <c r="P15" s="217"/>
      <c r="T15" s="629"/>
      <c r="U15" s="239" t="s">
        <v>114</v>
      </c>
      <c r="V15" s="239">
        <v>270</v>
      </c>
      <c r="W15" s="231">
        <v>0.7</v>
      </c>
      <c r="X15" s="236">
        <v>300</v>
      </c>
      <c r="Y15" s="107">
        <f t="shared" si="4"/>
        <v>56700</v>
      </c>
      <c r="Z15" s="631"/>
      <c r="AA15" s="590"/>
      <c r="AB15" s="590"/>
      <c r="AC15" s="590"/>
      <c r="AD15" s="582"/>
      <c r="AE15" s="582"/>
      <c r="AF15" s="226">
        <v>19</v>
      </c>
      <c r="AG15" s="237">
        <v>10</v>
      </c>
      <c r="AH15" s="237">
        <f t="shared" si="2"/>
        <v>9</v>
      </c>
    </row>
    <row r="16" spans="1:34">
      <c r="A16" s="629"/>
      <c r="B16" s="227" t="s">
        <v>99</v>
      </c>
      <c r="C16" s="227">
        <v>378</v>
      </c>
      <c r="D16" s="231">
        <v>0.7</v>
      </c>
      <c r="E16" s="222">
        <v>300</v>
      </c>
      <c r="F16" s="107">
        <f t="shared" si="8"/>
        <v>79379.999999999985</v>
      </c>
      <c r="G16" s="631"/>
      <c r="H16" s="590"/>
      <c r="I16" s="590"/>
      <c r="J16" s="590"/>
      <c r="K16" s="582"/>
      <c r="L16" s="582"/>
      <c r="M16" s="226">
        <v>13</v>
      </c>
      <c r="N16" s="223">
        <v>7</v>
      </c>
      <c r="O16" s="223">
        <f t="shared" si="1"/>
        <v>6</v>
      </c>
      <c r="P16" s="217"/>
      <c r="T16" s="629"/>
      <c r="U16" s="239" t="s">
        <v>99</v>
      </c>
      <c r="V16" s="239">
        <v>180</v>
      </c>
      <c r="W16" s="231">
        <v>0.7</v>
      </c>
      <c r="X16" s="236">
        <v>300</v>
      </c>
      <c r="Y16" s="107">
        <f t="shared" si="4"/>
        <v>37799.999999999993</v>
      </c>
      <c r="Z16" s="631"/>
      <c r="AA16" s="590"/>
      <c r="AB16" s="590"/>
      <c r="AC16" s="590"/>
      <c r="AD16" s="582"/>
      <c r="AE16" s="582"/>
      <c r="AF16" s="226">
        <v>13</v>
      </c>
      <c r="AG16" s="237">
        <v>7</v>
      </c>
      <c r="AH16" s="237">
        <f t="shared" si="2"/>
        <v>6</v>
      </c>
    </row>
    <row r="17" spans="1:34">
      <c r="A17" s="629"/>
      <c r="B17" s="227" t="s">
        <v>280</v>
      </c>
      <c r="C17" s="227">
        <v>1080</v>
      </c>
      <c r="D17" s="231">
        <v>0.7</v>
      </c>
      <c r="E17" s="222">
        <v>300</v>
      </c>
      <c r="F17" s="107">
        <f t="shared" si="8"/>
        <v>226800</v>
      </c>
      <c r="G17" s="631"/>
      <c r="H17" s="590"/>
      <c r="I17" s="590"/>
      <c r="J17" s="590"/>
      <c r="K17" s="582"/>
      <c r="L17" s="582"/>
      <c r="M17" s="226">
        <v>36</v>
      </c>
      <c r="N17" s="223">
        <f t="shared" si="3"/>
        <v>18</v>
      </c>
      <c r="O17" s="223">
        <f t="shared" si="1"/>
        <v>18</v>
      </c>
      <c r="P17" s="217"/>
      <c r="T17" s="629"/>
      <c r="U17" s="239" t="s">
        <v>280</v>
      </c>
      <c r="V17" s="239">
        <v>540</v>
      </c>
      <c r="W17" s="231">
        <v>0.7</v>
      </c>
      <c r="X17" s="236">
        <v>300</v>
      </c>
      <c r="Y17" s="107">
        <f t="shared" si="4"/>
        <v>113400</v>
      </c>
      <c r="Z17" s="631"/>
      <c r="AA17" s="590"/>
      <c r="AB17" s="590"/>
      <c r="AC17" s="590"/>
      <c r="AD17" s="582"/>
      <c r="AE17" s="582"/>
      <c r="AF17" s="226">
        <v>36</v>
      </c>
      <c r="AG17" s="237">
        <f t="shared" ref="AG17:AG18" si="10">AF17/2</f>
        <v>18</v>
      </c>
      <c r="AH17" s="237">
        <f t="shared" si="2"/>
        <v>18</v>
      </c>
    </row>
    <row r="18" spans="1:34">
      <c r="A18" s="628" t="s">
        <v>240</v>
      </c>
      <c r="B18" s="227" t="s">
        <v>101</v>
      </c>
      <c r="C18" s="227">
        <v>2711</v>
      </c>
      <c r="D18" s="231">
        <v>1.1599999999999999</v>
      </c>
      <c r="E18" s="222">
        <v>300</v>
      </c>
      <c r="F18" s="107">
        <f t="shared" si="8"/>
        <v>943427.99999999988</v>
      </c>
      <c r="G18" s="631">
        <v>4975</v>
      </c>
      <c r="H18" s="590">
        <v>10444</v>
      </c>
      <c r="I18" s="590">
        <v>638</v>
      </c>
      <c r="J18" s="590">
        <f>G18/H18*SUM(C18:C27)*I18</f>
        <v>3174050</v>
      </c>
      <c r="K18" s="582">
        <f>J18+SUM(F18:F27)</f>
        <v>6808562</v>
      </c>
      <c r="L18" s="582">
        <f>K18/SUM(C18:C27)</f>
        <v>651.9113366526235</v>
      </c>
      <c r="M18" s="226">
        <v>90</v>
      </c>
      <c r="N18" s="223">
        <f t="shared" si="3"/>
        <v>45</v>
      </c>
      <c r="O18" s="223">
        <f t="shared" si="1"/>
        <v>45</v>
      </c>
      <c r="P18" s="217"/>
      <c r="T18" s="628" t="s">
        <v>240</v>
      </c>
      <c r="U18" s="239" t="s">
        <v>101</v>
      </c>
      <c r="V18" s="239">
        <v>1350</v>
      </c>
      <c r="W18" s="231">
        <v>1.1599999999999999</v>
      </c>
      <c r="X18" s="236">
        <v>300</v>
      </c>
      <c r="Y18" s="107">
        <f t="shared" si="4"/>
        <v>469800</v>
      </c>
      <c r="Z18" s="631">
        <v>4975</v>
      </c>
      <c r="AA18" s="590">
        <v>10444</v>
      </c>
      <c r="AB18" s="590">
        <v>638</v>
      </c>
      <c r="AC18" s="590">
        <f>Z18/AA18*SUM(V18:V27)*AB18</f>
        <v>1559065.1570279587</v>
      </c>
      <c r="AD18" s="582">
        <f>AC18+SUM(Y18:Y27)</f>
        <v>3344305.1570279589</v>
      </c>
      <c r="AE18" s="582">
        <f>AD18/SUM(V18:V27)</f>
        <v>651.91133665262362</v>
      </c>
      <c r="AF18" s="226">
        <v>90</v>
      </c>
      <c r="AG18" s="237">
        <f t="shared" si="10"/>
        <v>45</v>
      </c>
      <c r="AH18" s="237">
        <f t="shared" si="2"/>
        <v>45</v>
      </c>
    </row>
    <row r="19" spans="1:34">
      <c r="A19" s="628"/>
      <c r="B19" s="227" t="s">
        <v>281</v>
      </c>
      <c r="C19" s="227">
        <v>1345</v>
      </c>
      <c r="D19" s="231">
        <v>1.1599999999999999</v>
      </c>
      <c r="E19" s="222">
        <v>300</v>
      </c>
      <c r="F19" s="107">
        <f t="shared" si="8"/>
        <v>468059.99999999994</v>
      </c>
      <c r="G19" s="631"/>
      <c r="H19" s="590"/>
      <c r="I19" s="590"/>
      <c r="J19" s="590"/>
      <c r="K19" s="582"/>
      <c r="L19" s="582"/>
      <c r="M19" s="226">
        <v>45</v>
      </c>
      <c r="N19" s="223">
        <v>23</v>
      </c>
      <c r="O19" s="223">
        <f t="shared" si="1"/>
        <v>22</v>
      </c>
      <c r="P19" s="217"/>
      <c r="T19" s="628"/>
      <c r="U19" s="239" t="s">
        <v>281</v>
      </c>
      <c r="V19" s="239">
        <v>660</v>
      </c>
      <c r="W19" s="231">
        <v>1.1599999999999999</v>
      </c>
      <c r="X19" s="236">
        <v>300</v>
      </c>
      <c r="Y19" s="107">
        <f t="shared" si="4"/>
        <v>229679.99999999997</v>
      </c>
      <c r="Z19" s="631"/>
      <c r="AA19" s="590"/>
      <c r="AB19" s="590"/>
      <c r="AC19" s="590"/>
      <c r="AD19" s="582"/>
      <c r="AE19" s="582"/>
      <c r="AF19" s="226">
        <v>45</v>
      </c>
      <c r="AG19" s="237">
        <v>23</v>
      </c>
      <c r="AH19" s="237">
        <f t="shared" si="2"/>
        <v>22</v>
      </c>
    </row>
    <row r="20" spans="1:34">
      <c r="A20" s="628"/>
      <c r="B20" s="227" t="s">
        <v>282</v>
      </c>
      <c r="C20" s="227">
        <v>954</v>
      </c>
      <c r="D20" s="231">
        <v>1.1599999999999999</v>
      </c>
      <c r="E20" s="222">
        <v>300</v>
      </c>
      <c r="F20" s="107">
        <f t="shared" si="8"/>
        <v>331991.99999999994</v>
      </c>
      <c r="G20" s="631"/>
      <c r="H20" s="590"/>
      <c r="I20" s="590"/>
      <c r="J20" s="590"/>
      <c r="K20" s="582"/>
      <c r="L20" s="582"/>
      <c r="M20" s="226">
        <v>32</v>
      </c>
      <c r="N20" s="223">
        <f t="shared" si="3"/>
        <v>16</v>
      </c>
      <c r="O20" s="223">
        <f t="shared" si="1"/>
        <v>16</v>
      </c>
      <c r="P20" s="217"/>
      <c r="T20" s="628"/>
      <c r="U20" s="239" t="s">
        <v>282</v>
      </c>
      <c r="V20" s="239">
        <v>480</v>
      </c>
      <c r="W20" s="231">
        <v>1.1599999999999999</v>
      </c>
      <c r="X20" s="236">
        <v>300</v>
      </c>
      <c r="Y20" s="107">
        <f t="shared" si="4"/>
        <v>167040</v>
      </c>
      <c r="Z20" s="631"/>
      <c r="AA20" s="590"/>
      <c r="AB20" s="590"/>
      <c r="AC20" s="590"/>
      <c r="AD20" s="582"/>
      <c r="AE20" s="582"/>
      <c r="AF20" s="226">
        <v>32</v>
      </c>
      <c r="AG20" s="237">
        <f t="shared" ref="AG20:AG21" si="11">AF20/2</f>
        <v>16</v>
      </c>
      <c r="AH20" s="237">
        <f t="shared" si="2"/>
        <v>16</v>
      </c>
    </row>
    <row r="21" spans="1:34">
      <c r="A21" s="628"/>
      <c r="B21" s="227" t="s">
        <v>283</v>
      </c>
      <c r="C21" s="227">
        <v>538</v>
      </c>
      <c r="D21" s="231">
        <v>1.1599999999999999</v>
      </c>
      <c r="E21" s="222">
        <v>300</v>
      </c>
      <c r="F21" s="107">
        <f t="shared" si="8"/>
        <v>187223.99999999997</v>
      </c>
      <c r="G21" s="631"/>
      <c r="H21" s="590"/>
      <c r="I21" s="590"/>
      <c r="J21" s="590"/>
      <c r="K21" s="582"/>
      <c r="L21" s="582"/>
      <c r="M21" s="226">
        <v>18</v>
      </c>
      <c r="N21" s="223">
        <f t="shared" si="3"/>
        <v>9</v>
      </c>
      <c r="O21" s="223">
        <f t="shared" si="1"/>
        <v>9</v>
      </c>
      <c r="P21" s="217"/>
      <c r="T21" s="628"/>
      <c r="U21" s="239" t="s">
        <v>283</v>
      </c>
      <c r="V21" s="239">
        <v>270</v>
      </c>
      <c r="W21" s="231">
        <v>1.1599999999999999</v>
      </c>
      <c r="X21" s="236">
        <v>300</v>
      </c>
      <c r="Y21" s="107">
        <f t="shared" si="4"/>
        <v>93960</v>
      </c>
      <c r="Z21" s="631"/>
      <c r="AA21" s="590"/>
      <c r="AB21" s="590"/>
      <c r="AC21" s="590"/>
      <c r="AD21" s="582"/>
      <c r="AE21" s="582"/>
      <c r="AF21" s="226">
        <v>18</v>
      </c>
      <c r="AG21" s="237">
        <f t="shared" si="11"/>
        <v>9</v>
      </c>
      <c r="AH21" s="237">
        <f t="shared" si="2"/>
        <v>9</v>
      </c>
    </row>
    <row r="22" spans="1:34" ht="15" customHeight="1">
      <c r="A22" s="628"/>
      <c r="B22" s="227" t="s">
        <v>151</v>
      </c>
      <c r="C22" s="227">
        <v>461</v>
      </c>
      <c r="D22" s="231">
        <v>1.1599999999999999</v>
      </c>
      <c r="E22" s="222">
        <v>300</v>
      </c>
      <c r="F22" s="107">
        <f t="shared" si="8"/>
        <v>160428</v>
      </c>
      <c r="G22" s="631"/>
      <c r="H22" s="590"/>
      <c r="I22" s="590"/>
      <c r="J22" s="590"/>
      <c r="K22" s="582"/>
      <c r="L22" s="582"/>
      <c r="M22" s="226">
        <v>15</v>
      </c>
      <c r="N22" s="223">
        <v>8</v>
      </c>
      <c r="O22" s="223">
        <f t="shared" si="1"/>
        <v>7</v>
      </c>
      <c r="P22" s="217"/>
      <c r="T22" s="628"/>
      <c r="U22" s="239" t="s">
        <v>151</v>
      </c>
      <c r="V22" s="239">
        <v>210</v>
      </c>
      <c r="W22" s="231">
        <v>1.1599999999999999</v>
      </c>
      <c r="X22" s="236">
        <v>300</v>
      </c>
      <c r="Y22" s="107">
        <f t="shared" si="4"/>
        <v>73080</v>
      </c>
      <c r="Z22" s="631"/>
      <c r="AA22" s="590"/>
      <c r="AB22" s="590"/>
      <c r="AC22" s="590"/>
      <c r="AD22" s="582"/>
      <c r="AE22" s="582"/>
      <c r="AF22" s="226">
        <v>15</v>
      </c>
      <c r="AG22" s="237">
        <v>8</v>
      </c>
      <c r="AH22" s="237">
        <f t="shared" si="2"/>
        <v>7</v>
      </c>
    </row>
    <row r="23" spans="1:34">
      <c r="A23" s="628"/>
      <c r="B23" s="227" t="s">
        <v>114</v>
      </c>
      <c r="C23" s="227">
        <v>702</v>
      </c>
      <c r="D23" s="231">
        <v>1.1599999999999999</v>
      </c>
      <c r="E23" s="222">
        <v>300</v>
      </c>
      <c r="F23" s="107">
        <f t="shared" si="8"/>
        <v>244295.99999999997</v>
      </c>
      <c r="G23" s="631"/>
      <c r="H23" s="590"/>
      <c r="I23" s="590"/>
      <c r="J23" s="590"/>
      <c r="K23" s="582"/>
      <c r="L23" s="582"/>
      <c r="M23" s="226">
        <v>23</v>
      </c>
      <c r="N23" s="223">
        <v>12</v>
      </c>
      <c r="O23" s="223">
        <f t="shared" si="1"/>
        <v>11</v>
      </c>
      <c r="P23" s="217"/>
      <c r="T23" s="628"/>
      <c r="U23" s="239" t="s">
        <v>114</v>
      </c>
      <c r="V23" s="239">
        <v>330</v>
      </c>
      <c r="W23" s="231">
        <v>1.1599999999999999</v>
      </c>
      <c r="X23" s="236">
        <v>300</v>
      </c>
      <c r="Y23" s="107">
        <f t="shared" si="4"/>
        <v>114839.99999999999</v>
      </c>
      <c r="Z23" s="631"/>
      <c r="AA23" s="590"/>
      <c r="AB23" s="590"/>
      <c r="AC23" s="590"/>
      <c r="AD23" s="582"/>
      <c r="AE23" s="582"/>
      <c r="AF23" s="226">
        <v>23</v>
      </c>
      <c r="AG23" s="237">
        <v>12</v>
      </c>
      <c r="AH23" s="237">
        <f t="shared" si="2"/>
        <v>11</v>
      </c>
    </row>
    <row r="24" spans="1:34">
      <c r="A24" s="628"/>
      <c r="B24" s="227" t="s">
        <v>284</v>
      </c>
      <c r="C24" s="227">
        <v>489</v>
      </c>
      <c r="D24" s="231">
        <v>1.1599999999999999</v>
      </c>
      <c r="E24" s="222">
        <v>300</v>
      </c>
      <c r="F24" s="107">
        <f t="shared" si="8"/>
        <v>170172</v>
      </c>
      <c r="G24" s="631"/>
      <c r="H24" s="590"/>
      <c r="I24" s="590"/>
      <c r="J24" s="590"/>
      <c r="K24" s="582"/>
      <c r="L24" s="582"/>
      <c r="M24" s="226">
        <v>16</v>
      </c>
      <c r="N24" s="223">
        <f t="shared" si="3"/>
        <v>8</v>
      </c>
      <c r="O24" s="223">
        <f t="shared" si="1"/>
        <v>8</v>
      </c>
      <c r="P24" s="217"/>
      <c r="T24" s="628"/>
      <c r="U24" s="239" t="s">
        <v>284</v>
      </c>
      <c r="V24" s="239">
        <v>240</v>
      </c>
      <c r="W24" s="231">
        <v>1.1599999999999999</v>
      </c>
      <c r="X24" s="236">
        <v>300</v>
      </c>
      <c r="Y24" s="107">
        <f t="shared" si="4"/>
        <v>83520</v>
      </c>
      <c r="Z24" s="631"/>
      <c r="AA24" s="590"/>
      <c r="AB24" s="590"/>
      <c r="AC24" s="590"/>
      <c r="AD24" s="582"/>
      <c r="AE24" s="582"/>
      <c r="AF24" s="226">
        <v>16</v>
      </c>
      <c r="AG24" s="237">
        <f t="shared" ref="AG24" si="12">AF24/2</f>
        <v>8</v>
      </c>
      <c r="AH24" s="237">
        <f t="shared" si="2"/>
        <v>8</v>
      </c>
    </row>
    <row r="25" spans="1:34">
      <c r="A25" s="628"/>
      <c r="B25" s="227" t="s">
        <v>95</v>
      </c>
      <c r="C25" s="227">
        <v>1484</v>
      </c>
      <c r="D25" s="233">
        <v>1.1599999999999999</v>
      </c>
      <c r="E25" s="222">
        <v>300</v>
      </c>
      <c r="F25" s="107">
        <f t="shared" si="8"/>
        <v>516431.99999999994</v>
      </c>
      <c r="G25" s="631"/>
      <c r="H25" s="590"/>
      <c r="I25" s="590"/>
      <c r="J25" s="590"/>
      <c r="K25" s="582"/>
      <c r="L25" s="582"/>
      <c r="M25" s="226">
        <v>49</v>
      </c>
      <c r="N25" s="223">
        <v>25</v>
      </c>
      <c r="O25" s="223">
        <f t="shared" si="1"/>
        <v>24</v>
      </c>
      <c r="P25" s="217"/>
      <c r="T25" s="628"/>
      <c r="U25" s="239" t="s">
        <v>95</v>
      </c>
      <c r="V25" s="239">
        <v>720</v>
      </c>
      <c r="W25" s="233">
        <v>1.1599999999999999</v>
      </c>
      <c r="X25" s="236">
        <v>300</v>
      </c>
      <c r="Y25" s="107">
        <f t="shared" si="4"/>
        <v>250559.99999999997</v>
      </c>
      <c r="Z25" s="631"/>
      <c r="AA25" s="590"/>
      <c r="AB25" s="590"/>
      <c r="AC25" s="590"/>
      <c r="AD25" s="582"/>
      <c r="AE25" s="582"/>
      <c r="AF25" s="226">
        <v>49</v>
      </c>
      <c r="AG25" s="237">
        <v>25</v>
      </c>
      <c r="AH25" s="237">
        <f t="shared" si="2"/>
        <v>24</v>
      </c>
    </row>
    <row r="26" spans="1:34" ht="15" customHeight="1">
      <c r="A26" s="628"/>
      <c r="B26" s="227" t="s">
        <v>150</v>
      </c>
      <c r="C26" s="227">
        <v>1188</v>
      </c>
      <c r="D26" s="231">
        <v>1.1599999999999999</v>
      </c>
      <c r="E26" s="222">
        <v>300</v>
      </c>
      <c r="F26" s="107">
        <f t="shared" si="8"/>
        <v>413424</v>
      </c>
      <c r="G26" s="631"/>
      <c r="H26" s="590"/>
      <c r="I26" s="590"/>
      <c r="J26" s="590"/>
      <c r="K26" s="582"/>
      <c r="L26" s="582"/>
      <c r="M26" s="226">
        <v>40</v>
      </c>
      <c r="N26" s="223">
        <f>M26/2</f>
        <v>20</v>
      </c>
      <c r="O26" s="223">
        <f t="shared" si="1"/>
        <v>20</v>
      </c>
      <c r="P26" s="217"/>
      <c r="T26" s="628"/>
      <c r="U26" s="239" t="s">
        <v>150</v>
      </c>
      <c r="V26" s="239">
        <v>600</v>
      </c>
      <c r="W26" s="231">
        <v>1.1599999999999999</v>
      </c>
      <c r="X26" s="236">
        <v>300</v>
      </c>
      <c r="Y26" s="107">
        <f t="shared" si="4"/>
        <v>208800</v>
      </c>
      <c r="Z26" s="631"/>
      <c r="AA26" s="590"/>
      <c r="AB26" s="590"/>
      <c r="AC26" s="590"/>
      <c r="AD26" s="582"/>
      <c r="AE26" s="582"/>
      <c r="AF26" s="226">
        <v>40</v>
      </c>
      <c r="AG26" s="237">
        <f>AF26/2</f>
        <v>20</v>
      </c>
      <c r="AH26" s="237">
        <f t="shared" si="2"/>
        <v>20</v>
      </c>
    </row>
    <row r="27" spans="1:34">
      <c r="A27" s="628"/>
      <c r="B27" s="227" t="s">
        <v>285</v>
      </c>
      <c r="C27" s="227">
        <v>572</v>
      </c>
      <c r="D27" s="231">
        <v>1.1599999999999999</v>
      </c>
      <c r="E27" s="222">
        <v>300</v>
      </c>
      <c r="F27" s="107">
        <f t="shared" si="8"/>
        <v>199056</v>
      </c>
      <c r="G27" s="631"/>
      <c r="H27" s="590"/>
      <c r="I27" s="590"/>
      <c r="J27" s="590"/>
      <c r="K27" s="582"/>
      <c r="L27" s="582"/>
      <c r="M27" s="226">
        <v>19</v>
      </c>
      <c r="N27" s="223">
        <v>10</v>
      </c>
      <c r="O27" s="223">
        <f t="shared" si="1"/>
        <v>9</v>
      </c>
      <c r="P27" s="217"/>
      <c r="T27" s="628"/>
      <c r="U27" s="239" t="s">
        <v>285</v>
      </c>
      <c r="V27" s="239">
        <v>270</v>
      </c>
      <c r="W27" s="231">
        <v>1.1599999999999999</v>
      </c>
      <c r="X27" s="236">
        <v>300</v>
      </c>
      <c r="Y27" s="107">
        <f t="shared" si="4"/>
        <v>93960</v>
      </c>
      <c r="Z27" s="631"/>
      <c r="AA27" s="590"/>
      <c r="AB27" s="590"/>
      <c r="AC27" s="590"/>
      <c r="AD27" s="582"/>
      <c r="AE27" s="582"/>
      <c r="AF27" s="226">
        <v>19</v>
      </c>
      <c r="AG27" s="237">
        <v>10</v>
      </c>
      <c r="AH27" s="237">
        <f t="shared" si="2"/>
        <v>9</v>
      </c>
    </row>
    <row r="28" spans="1:34">
      <c r="A28" s="630" t="s">
        <v>279</v>
      </c>
      <c r="B28" s="227" t="s">
        <v>101</v>
      </c>
      <c r="C28" s="227">
        <v>1260</v>
      </c>
      <c r="D28" s="231">
        <v>2.2999999999999998</v>
      </c>
      <c r="E28" s="222">
        <v>300</v>
      </c>
      <c r="F28" s="107">
        <f t="shared" si="8"/>
        <v>869400</v>
      </c>
      <c r="G28" s="631">
        <v>965</v>
      </c>
      <c r="H28" s="590">
        <v>2509</v>
      </c>
      <c r="I28" s="590">
        <v>638</v>
      </c>
      <c r="J28" s="590">
        <f>G28/H28*SUM(C28:C29)*I28</f>
        <v>615670</v>
      </c>
      <c r="K28" s="582">
        <f>J28+SUM(F28:F29)</f>
        <v>2346880</v>
      </c>
      <c r="L28" s="582">
        <f>K28/SUM(C28:C29)</f>
        <v>935.38461538461536</v>
      </c>
      <c r="M28" s="226">
        <v>42</v>
      </c>
      <c r="N28" s="223">
        <f t="shared" si="3"/>
        <v>21</v>
      </c>
      <c r="O28" s="223">
        <f t="shared" si="1"/>
        <v>21</v>
      </c>
      <c r="P28" s="217"/>
      <c r="T28" s="630" t="s">
        <v>279</v>
      </c>
      <c r="U28" s="239" t="s">
        <v>101</v>
      </c>
      <c r="V28" s="239">
        <v>630</v>
      </c>
      <c r="W28" s="231">
        <v>2.2999999999999998</v>
      </c>
      <c r="X28" s="236">
        <v>300</v>
      </c>
      <c r="Y28" s="107">
        <f t="shared" si="4"/>
        <v>434700</v>
      </c>
      <c r="Z28" s="631">
        <v>965</v>
      </c>
      <c r="AA28" s="590">
        <v>2509</v>
      </c>
      <c r="AB28" s="590">
        <v>638</v>
      </c>
      <c r="AC28" s="590">
        <f>Z28/AA28*SUM(V28:V29)*AB28</f>
        <v>306485.38461538462</v>
      </c>
      <c r="AD28" s="582">
        <f>AC28+SUM(Y28:Y29)</f>
        <v>1168295.3846153845</v>
      </c>
      <c r="AE28" s="582">
        <f>AD28/SUM(V28:V29)</f>
        <v>935.38461538461524</v>
      </c>
      <c r="AF28" s="226">
        <v>42</v>
      </c>
      <c r="AG28" s="237">
        <f t="shared" ref="AG28:AG30" si="13">AF28/2</f>
        <v>21</v>
      </c>
      <c r="AH28" s="237">
        <f t="shared" si="2"/>
        <v>21</v>
      </c>
    </row>
    <row r="29" spans="1:34">
      <c r="A29" s="630"/>
      <c r="B29" s="227" t="s">
        <v>190</v>
      </c>
      <c r="C29" s="227">
        <v>1249</v>
      </c>
      <c r="D29" s="231">
        <v>2.2999999999999998</v>
      </c>
      <c r="E29" s="222">
        <v>300</v>
      </c>
      <c r="F29" s="107">
        <f t="shared" si="8"/>
        <v>861810</v>
      </c>
      <c r="G29" s="631"/>
      <c r="H29" s="590"/>
      <c r="I29" s="590"/>
      <c r="J29" s="590"/>
      <c r="K29" s="582"/>
      <c r="L29" s="582"/>
      <c r="M29" s="226">
        <v>42</v>
      </c>
      <c r="N29" s="223">
        <f t="shared" si="3"/>
        <v>21</v>
      </c>
      <c r="O29" s="223">
        <f t="shared" si="1"/>
        <v>21</v>
      </c>
      <c r="P29" s="217"/>
      <c r="T29" s="630"/>
      <c r="U29" s="239" t="s">
        <v>190</v>
      </c>
      <c r="V29" s="239">
        <v>619</v>
      </c>
      <c r="W29" s="231">
        <v>2.2999999999999998</v>
      </c>
      <c r="X29" s="236">
        <v>300</v>
      </c>
      <c r="Y29" s="107">
        <f t="shared" si="4"/>
        <v>427109.99999999994</v>
      </c>
      <c r="Z29" s="631"/>
      <c r="AA29" s="590"/>
      <c r="AB29" s="590"/>
      <c r="AC29" s="590"/>
      <c r="AD29" s="582"/>
      <c r="AE29" s="582"/>
      <c r="AF29" s="226">
        <v>42</v>
      </c>
      <c r="AG29" s="237">
        <f t="shared" si="13"/>
        <v>21</v>
      </c>
      <c r="AH29" s="237">
        <f t="shared" si="2"/>
        <v>21</v>
      </c>
    </row>
    <row r="30" spans="1:34">
      <c r="A30" s="630">
        <v>22435</v>
      </c>
      <c r="B30" s="229" t="s">
        <v>101</v>
      </c>
      <c r="C30" s="229">
        <v>726</v>
      </c>
      <c r="D30" s="234">
        <v>1.8</v>
      </c>
      <c r="E30" s="222">
        <v>300</v>
      </c>
      <c r="F30" s="107">
        <f t="shared" si="8"/>
        <v>392040</v>
      </c>
      <c r="G30" s="630">
        <v>1575</v>
      </c>
      <c r="H30" s="590">
        <v>2806</v>
      </c>
      <c r="I30" s="625">
        <v>638</v>
      </c>
      <c r="J30" s="590">
        <f>G30/H30*SUM(C30:C34)*I30</f>
        <v>1004850</v>
      </c>
      <c r="K30" s="582">
        <f>J30+SUM(F30:F34)</f>
        <v>2520090</v>
      </c>
      <c r="L30" s="582">
        <f>K30/SUM(C30:C34)</f>
        <v>898.10762651461152</v>
      </c>
      <c r="M30" s="226">
        <v>24</v>
      </c>
      <c r="N30" s="223">
        <f t="shared" si="3"/>
        <v>12</v>
      </c>
      <c r="O30" s="223">
        <f t="shared" si="1"/>
        <v>12</v>
      </c>
      <c r="P30" s="62"/>
      <c r="T30" s="630">
        <v>22435</v>
      </c>
      <c r="U30" s="241" t="s">
        <v>101</v>
      </c>
      <c r="V30" s="241">
        <v>360</v>
      </c>
      <c r="W30" s="234">
        <v>1.8</v>
      </c>
      <c r="X30" s="236">
        <v>300</v>
      </c>
      <c r="Y30" s="107">
        <f t="shared" si="4"/>
        <v>194400</v>
      </c>
      <c r="Z30" s="630">
        <v>1575</v>
      </c>
      <c r="AA30" s="590">
        <v>2806</v>
      </c>
      <c r="AB30" s="625">
        <v>638</v>
      </c>
      <c r="AC30" s="590">
        <f>Z30/AA30*SUM(V30:V34)*AB30</f>
        <v>483445.29579472559</v>
      </c>
      <c r="AD30" s="582">
        <f>AC30+SUM(Y30:Y34)</f>
        <v>1212445.2957947257</v>
      </c>
      <c r="AE30" s="582">
        <f>AD30/SUM(V30:V34)</f>
        <v>898.10762651461164</v>
      </c>
      <c r="AF30" s="226">
        <v>24</v>
      </c>
      <c r="AG30" s="237">
        <f t="shared" si="13"/>
        <v>12</v>
      </c>
      <c r="AH30" s="237">
        <f t="shared" si="2"/>
        <v>12</v>
      </c>
    </row>
    <row r="31" spans="1:34">
      <c r="A31" s="630"/>
      <c r="B31" s="229" t="s">
        <v>150</v>
      </c>
      <c r="C31" s="229">
        <v>626</v>
      </c>
      <c r="D31" s="234">
        <v>1.8</v>
      </c>
      <c r="E31" s="222">
        <v>300</v>
      </c>
      <c r="F31" s="107">
        <f t="shared" si="8"/>
        <v>338040</v>
      </c>
      <c r="G31" s="630"/>
      <c r="H31" s="590"/>
      <c r="I31" s="625"/>
      <c r="J31" s="590"/>
      <c r="K31" s="582"/>
      <c r="L31" s="582"/>
      <c r="M31" s="226">
        <v>21</v>
      </c>
      <c r="N31" s="223">
        <v>11</v>
      </c>
      <c r="O31" s="223">
        <f t="shared" si="1"/>
        <v>10</v>
      </c>
      <c r="P31" s="62"/>
      <c r="T31" s="630"/>
      <c r="U31" s="241" t="s">
        <v>150</v>
      </c>
      <c r="V31" s="241">
        <v>300</v>
      </c>
      <c r="W31" s="234">
        <v>1.8</v>
      </c>
      <c r="X31" s="236">
        <v>300</v>
      </c>
      <c r="Y31" s="107">
        <f t="shared" si="4"/>
        <v>162000</v>
      </c>
      <c r="Z31" s="630"/>
      <c r="AA31" s="590"/>
      <c r="AB31" s="625"/>
      <c r="AC31" s="590"/>
      <c r="AD31" s="582"/>
      <c r="AE31" s="582"/>
      <c r="AF31" s="226">
        <v>21</v>
      </c>
      <c r="AG31" s="237">
        <v>11</v>
      </c>
      <c r="AH31" s="237">
        <f t="shared" si="2"/>
        <v>10</v>
      </c>
    </row>
    <row r="32" spans="1:34">
      <c r="A32" s="630"/>
      <c r="B32" s="229" t="s">
        <v>95</v>
      </c>
      <c r="C32" s="229">
        <v>458</v>
      </c>
      <c r="D32" s="234">
        <v>1.8</v>
      </c>
      <c r="E32" s="222">
        <v>300</v>
      </c>
      <c r="F32" s="107">
        <f t="shared" si="8"/>
        <v>247320</v>
      </c>
      <c r="G32" s="630"/>
      <c r="H32" s="590"/>
      <c r="I32" s="625"/>
      <c r="J32" s="590"/>
      <c r="K32" s="582"/>
      <c r="L32" s="582"/>
      <c r="M32" s="226">
        <v>15</v>
      </c>
      <c r="N32" s="223">
        <v>8</v>
      </c>
      <c r="O32" s="223">
        <f t="shared" si="1"/>
        <v>7</v>
      </c>
      <c r="P32" s="62"/>
      <c r="T32" s="630"/>
      <c r="U32" s="241" t="s">
        <v>95</v>
      </c>
      <c r="V32" s="241">
        <v>210</v>
      </c>
      <c r="W32" s="234">
        <v>1.8</v>
      </c>
      <c r="X32" s="236">
        <v>300</v>
      </c>
      <c r="Y32" s="107">
        <f t="shared" si="4"/>
        <v>113400</v>
      </c>
      <c r="Z32" s="630"/>
      <c r="AA32" s="590"/>
      <c r="AB32" s="625"/>
      <c r="AC32" s="590"/>
      <c r="AD32" s="582"/>
      <c r="AE32" s="582"/>
      <c r="AF32" s="226">
        <v>15</v>
      </c>
      <c r="AG32" s="237">
        <v>8</v>
      </c>
      <c r="AH32" s="237">
        <f t="shared" si="2"/>
        <v>7</v>
      </c>
    </row>
    <row r="33" spans="1:34">
      <c r="A33" s="630"/>
      <c r="B33" s="229" t="s">
        <v>283</v>
      </c>
      <c r="C33" s="229">
        <v>494</v>
      </c>
      <c r="D33" s="234">
        <v>1.8</v>
      </c>
      <c r="E33" s="222">
        <v>300</v>
      </c>
      <c r="F33" s="107">
        <f t="shared" si="8"/>
        <v>266760</v>
      </c>
      <c r="G33" s="630"/>
      <c r="H33" s="590"/>
      <c r="I33" s="625"/>
      <c r="J33" s="590"/>
      <c r="K33" s="582"/>
      <c r="L33" s="582"/>
      <c r="M33" s="226">
        <v>16</v>
      </c>
      <c r="N33" s="223">
        <f t="shared" si="3"/>
        <v>8</v>
      </c>
      <c r="O33" s="223">
        <f t="shared" si="1"/>
        <v>8</v>
      </c>
      <c r="P33" s="62"/>
      <c r="T33" s="630"/>
      <c r="U33" s="241" t="s">
        <v>283</v>
      </c>
      <c r="V33" s="241">
        <v>240</v>
      </c>
      <c r="W33" s="234">
        <v>1.8</v>
      </c>
      <c r="X33" s="236">
        <v>300</v>
      </c>
      <c r="Y33" s="107">
        <f t="shared" si="4"/>
        <v>129600</v>
      </c>
      <c r="Z33" s="630"/>
      <c r="AA33" s="590"/>
      <c r="AB33" s="625"/>
      <c r="AC33" s="590"/>
      <c r="AD33" s="582"/>
      <c r="AE33" s="582"/>
      <c r="AF33" s="226">
        <v>16</v>
      </c>
      <c r="AG33" s="237">
        <f t="shared" ref="AG33" si="14">AF33/2</f>
        <v>8</v>
      </c>
      <c r="AH33" s="237">
        <f t="shared" si="2"/>
        <v>8</v>
      </c>
    </row>
    <row r="34" spans="1:34" ht="15" customHeight="1">
      <c r="A34" s="630"/>
      <c r="B34" s="229" t="s">
        <v>281</v>
      </c>
      <c r="C34" s="229">
        <v>502</v>
      </c>
      <c r="D34" s="234">
        <v>1.8</v>
      </c>
      <c r="E34" s="222">
        <v>300</v>
      </c>
      <c r="F34" s="107">
        <f t="shared" si="8"/>
        <v>271080</v>
      </c>
      <c r="G34" s="630"/>
      <c r="H34" s="590"/>
      <c r="I34" s="625"/>
      <c r="J34" s="590"/>
      <c r="K34" s="582"/>
      <c r="L34" s="582"/>
      <c r="M34" s="226">
        <v>17</v>
      </c>
      <c r="N34" s="223">
        <v>9</v>
      </c>
      <c r="O34" s="223">
        <f t="shared" si="1"/>
        <v>8</v>
      </c>
      <c r="P34" s="217"/>
      <c r="T34" s="630"/>
      <c r="U34" s="241" t="s">
        <v>281</v>
      </c>
      <c r="V34" s="241">
        <v>240</v>
      </c>
      <c r="W34" s="234">
        <v>1.8</v>
      </c>
      <c r="X34" s="236">
        <v>300</v>
      </c>
      <c r="Y34" s="107">
        <f t="shared" si="4"/>
        <v>129600</v>
      </c>
      <c r="Z34" s="630"/>
      <c r="AA34" s="590"/>
      <c r="AB34" s="625"/>
      <c r="AC34" s="590"/>
      <c r="AD34" s="582"/>
      <c r="AE34" s="582"/>
      <c r="AF34" s="226">
        <v>17</v>
      </c>
      <c r="AG34" s="237">
        <v>9</v>
      </c>
      <c r="AH34" s="237">
        <f t="shared" si="2"/>
        <v>8</v>
      </c>
    </row>
    <row r="35" spans="1:34" ht="15.75">
      <c r="A35" s="2" t="s">
        <v>4</v>
      </c>
      <c r="B35" s="1"/>
      <c r="C35" s="2">
        <f>SUM(C3:C34)</f>
        <v>29518</v>
      </c>
      <c r="D35" s="1"/>
      <c r="E35" s="1"/>
      <c r="F35" s="97">
        <f>SUM(F3:F34)</f>
        <v>10496274</v>
      </c>
      <c r="G35" s="27">
        <f>SUM(G3:G34)</f>
        <v>13200</v>
      </c>
      <c r="H35" s="98">
        <f>SUM(H3:H34)</f>
        <v>29518</v>
      </c>
      <c r="I35" s="1"/>
      <c r="J35" s="98">
        <f>SUM(J3:J34)</f>
        <v>8421600</v>
      </c>
      <c r="K35" s="97">
        <f>SUM(K3:K34)</f>
        <v>18917874</v>
      </c>
      <c r="L35" s="1"/>
      <c r="M35" s="230">
        <f t="shared" ref="M35" si="15">SUM(M3:M34)</f>
        <v>985</v>
      </c>
      <c r="N35" s="187">
        <f>SUM(N3:N34)</f>
        <v>500</v>
      </c>
      <c r="O35" s="187">
        <f>SUM(O3:O34)</f>
        <v>485</v>
      </c>
      <c r="P35" s="216"/>
      <c r="T35" s="2" t="s">
        <v>4</v>
      </c>
      <c r="U35" s="1"/>
      <c r="V35" s="2">
        <f>SUM(V3:V34)</f>
        <v>14539</v>
      </c>
      <c r="W35" s="1"/>
      <c r="X35" s="1"/>
      <c r="Y35" s="97">
        <f>SUM(Y3:Y34)</f>
        <v>5168490</v>
      </c>
      <c r="Z35" s="27">
        <f>SUM(Z3:Z34)</f>
        <v>13200</v>
      </c>
      <c r="AA35" s="98">
        <f>SUM(AA3:AA34)</f>
        <v>29518</v>
      </c>
      <c r="AB35" s="1"/>
      <c r="AC35" s="98">
        <f>SUM(AC3:AC34)</f>
        <v>4147644.2406038265</v>
      </c>
      <c r="AD35" s="97">
        <f>SUM(AD3:AD34)</f>
        <v>9316134.2406038269</v>
      </c>
      <c r="AE35" s="1"/>
      <c r="AF35" s="230">
        <f t="shared" ref="AF35" si="16">SUM(AF3:AF34)</f>
        <v>985</v>
      </c>
      <c r="AG35" s="187">
        <f>SUM(AG3:AG34)</f>
        <v>500</v>
      </c>
      <c r="AH35" s="187">
        <f>SUM(AH3:AH34)</f>
        <v>485</v>
      </c>
    </row>
    <row r="36" spans="1:34">
      <c r="A36" s="1"/>
      <c r="B36" s="1"/>
      <c r="C36" s="1"/>
      <c r="D36" s="1"/>
      <c r="E36" s="558" t="s">
        <v>233</v>
      </c>
      <c r="F36" s="558"/>
      <c r="G36" s="27">
        <f>K35+K36</f>
        <v>19107052.739999998</v>
      </c>
      <c r="H36" s="1"/>
      <c r="I36" s="558" t="s">
        <v>276</v>
      </c>
      <c r="J36" s="558"/>
      <c r="K36" s="2">
        <f>K35*1%</f>
        <v>189178.74</v>
      </c>
      <c r="L36" s="1"/>
      <c r="M36" s="1"/>
      <c r="N36" s="1"/>
      <c r="O36" s="1"/>
      <c r="P36" s="1"/>
      <c r="T36" s="1"/>
      <c r="U36" s="1"/>
      <c r="V36" s="1"/>
      <c r="W36" s="1"/>
      <c r="X36" s="558" t="s">
        <v>233</v>
      </c>
      <c r="Y36" s="558"/>
      <c r="Z36" s="27">
        <f>AD35+AD36</f>
        <v>9409295.5830098651</v>
      </c>
      <c r="AA36" s="1"/>
      <c r="AB36" s="558" t="s">
        <v>276</v>
      </c>
      <c r="AC36" s="558"/>
      <c r="AD36" s="2">
        <f>AD35*1%</f>
        <v>93161.342406038268</v>
      </c>
      <c r="AE36" s="1"/>
      <c r="AF36" s="1"/>
      <c r="AG36" s="1"/>
      <c r="AH36" s="1"/>
    </row>
    <row r="41" spans="1:34">
      <c r="E41" s="627" t="s">
        <v>286</v>
      </c>
      <c r="F41" s="627"/>
      <c r="G41" s="627"/>
      <c r="H41" s="627"/>
      <c r="I41" s="627"/>
    </row>
    <row r="42" spans="1:34">
      <c r="E42" s="627"/>
      <c r="F42" s="627"/>
      <c r="G42" s="627"/>
      <c r="H42" s="627"/>
      <c r="I42" s="627"/>
    </row>
    <row r="43" spans="1:34" ht="18.75">
      <c r="E43" s="100" t="s">
        <v>0</v>
      </c>
      <c r="F43" s="100" t="s">
        <v>140</v>
      </c>
      <c r="G43" s="105" t="s">
        <v>125</v>
      </c>
      <c r="H43" s="105" t="s">
        <v>126</v>
      </c>
      <c r="I43" s="105" t="s">
        <v>250</v>
      </c>
    </row>
    <row r="44" spans="1:34" ht="25.5">
      <c r="E44" s="224" t="s">
        <v>277</v>
      </c>
      <c r="F44" s="225" t="s">
        <v>188</v>
      </c>
      <c r="G44" s="226">
        <v>66</v>
      </c>
      <c r="H44" s="220">
        <f>G44/2</f>
        <v>33</v>
      </c>
      <c r="I44" s="220">
        <f>G44-H44</f>
        <v>33</v>
      </c>
    </row>
    <row r="45" spans="1:34">
      <c r="E45" s="628" t="s">
        <v>278</v>
      </c>
      <c r="F45" s="225" t="s">
        <v>150</v>
      </c>
      <c r="G45" s="226">
        <v>19</v>
      </c>
      <c r="H45" s="220">
        <v>10</v>
      </c>
      <c r="I45" s="220">
        <f t="shared" ref="I45:I75" si="17">G45-H45</f>
        <v>9</v>
      </c>
    </row>
    <row r="46" spans="1:34">
      <c r="E46" s="628"/>
      <c r="F46" s="225" t="s">
        <v>272</v>
      </c>
      <c r="G46" s="226">
        <v>21</v>
      </c>
      <c r="H46" s="220">
        <v>11</v>
      </c>
      <c r="I46" s="220">
        <f t="shared" si="17"/>
        <v>10</v>
      </c>
    </row>
    <row r="47" spans="1:34">
      <c r="E47" s="628"/>
      <c r="F47" s="225" t="s">
        <v>95</v>
      </c>
      <c r="G47" s="226">
        <v>40</v>
      </c>
      <c r="H47" s="220">
        <f t="shared" ref="H47" si="18">G47/2</f>
        <v>20</v>
      </c>
      <c r="I47" s="220">
        <f t="shared" si="17"/>
        <v>20</v>
      </c>
    </row>
    <row r="48" spans="1:34">
      <c r="E48" s="628"/>
      <c r="F48" s="225" t="s">
        <v>96</v>
      </c>
      <c r="G48" s="226">
        <v>27</v>
      </c>
      <c r="H48" s="220">
        <v>14</v>
      </c>
      <c r="I48" s="220">
        <f t="shared" si="17"/>
        <v>13</v>
      </c>
    </row>
    <row r="49" spans="5:9">
      <c r="E49" s="628"/>
      <c r="F49" s="225" t="s">
        <v>99</v>
      </c>
      <c r="G49" s="226">
        <v>14</v>
      </c>
      <c r="H49" s="220">
        <f t="shared" ref="H49" si="19">G49/2</f>
        <v>7</v>
      </c>
      <c r="I49" s="220">
        <f t="shared" si="17"/>
        <v>7</v>
      </c>
    </row>
    <row r="50" spans="5:9">
      <c r="E50" s="628"/>
      <c r="F50" s="225" t="s">
        <v>190</v>
      </c>
      <c r="G50" s="226">
        <v>15</v>
      </c>
      <c r="H50" s="220">
        <v>8</v>
      </c>
      <c r="I50" s="220">
        <f t="shared" si="17"/>
        <v>7</v>
      </c>
    </row>
    <row r="51" spans="5:9">
      <c r="E51" s="629" t="s">
        <v>109</v>
      </c>
      <c r="F51" s="225" t="s">
        <v>101</v>
      </c>
      <c r="G51" s="226">
        <v>86</v>
      </c>
      <c r="H51" s="220">
        <f t="shared" ref="H51:H53" si="20">G51/2</f>
        <v>43</v>
      </c>
      <c r="I51" s="220">
        <f t="shared" si="17"/>
        <v>43</v>
      </c>
    </row>
    <row r="52" spans="5:9">
      <c r="E52" s="629"/>
      <c r="F52" s="225" t="s">
        <v>150</v>
      </c>
      <c r="G52" s="226">
        <v>44</v>
      </c>
      <c r="H52" s="220">
        <f t="shared" si="20"/>
        <v>22</v>
      </c>
      <c r="I52" s="220">
        <f t="shared" si="17"/>
        <v>22</v>
      </c>
    </row>
    <row r="53" spans="5:9">
      <c r="E53" s="629"/>
      <c r="F53" s="225" t="s">
        <v>95</v>
      </c>
      <c r="G53" s="226">
        <v>32</v>
      </c>
      <c r="H53" s="220">
        <f t="shared" si="20"/>
        <v>16</v>
      </c>
      <c r="I53" s="220">
        <f t="shared" si="17"/>
        <v>16</v>
      </c>
    </row>
    <row r="54" spans="5:9">
      <c r="E54" s="629"/>
      <c r="F54" s="225" t="s">
        <v>102</v>
      </c>
      <c r="G54" s="226">
        <v>15</v>
      </c>
      <c r="H54" s="220">
        <v>8</v>
      </c>
      <c r="I54" s="220">
        <f t="shared" si="17"/>
        <v>7</v>
      </c>
    </row>
    <row r="55" spans="5:9">
      <c r="E55" s="629"/>
      <c r="F55" s="225" t="s">
        <v>100</v>
      </c>
      <c r="G55" s="226">
        <v>14</v>
      </c>
      <c r="H55" s="220">
        <f t="shared" ref="H55" si="21">G55/2</f>
        <v>7</v>
      </c>
      <c r="I55" s="220">
        <f t="shared" si="17"/>
        <v>7</v>
      </c>
    </row>
    <row r="56" spans="5:9">
      <c r="E56" s="629"/>
      <c r="F56" s="225" t="s">
        <v>114</v>
      </c>
      <c r="G56" s="226">
        <v>19</v>
      </c>
      <c r="H56" s="220">
        <v>10</v>
      </c>
      <c r="I56" s="220">
        <f t="shared" si="17"/>
        <v>9</v>
      </c>
    </row>
    <row r="57" spans="5:9">
      <c r="E57" s="629"/>
      <c r="F57" s="225" t="s">
        <v>99</v>
      </c>
      <c r="G57" s="226">
        <v>13</v>
      </c>
      <c r="H57" s="220">
        <v>7</v>
      </c>
      <c r="I57" s="220">
        <f t="shared" si="17"/>
        <v>6</v>
      </c>
    </row>
    <row r="58" spans="5:9">
      <c r="E58" s="629"/>
      <c r="F58" s="225" t="s">
        <v>280</v>
      </c>
      <c r="G58" s="226">
        <v>36</v>
      </c>
      <c r="H58" s="220">
        <f t="shared" ref="H58:H59" si="22">G58/2</f>
        <v>18</v>
      </c>
      <c r="I58" s="220">
        <f t="shared" si="17"/>
        <v>18</v>
      </c>
    </row>
    <row r="59" spans="5:9">
      <c r="E59" s="628" t="s">
        <v>240</v>
      </c>
      <c r="F59" s="225" t="s">
        <v>101</v>
      </c>
      <c r="G59" s="226">
        <v>90</v>
      </c>
      <c r="H59" s="220">
        <f t="shared" si="22"/>
        <v>45</v>
      </c>
      <c r="I59" s="220">
        <f t="shared" si="17"/>
        <v>45</v>
      </c>
    </row>
    <row r="60" spans="5:9">
      <c r="E60" s="628"/>
      <c r="F60" s="225" t="s">
        <v>281</v>
      </c>
      <c r="G60" s="226">
        <v>45</v>
      </c>
      <c r="H60" s="220">
        <v>23</v>
      </c>
      <c r="I60" s="220">
        <f t="shared" si="17"/>
        <v>22</v>
      </c>
    </row>
    <row r="61" spans="5:9">
      <c r="E61" s="628"/>
      <c r="F61" s="225" t="s">
        <v>282</v>
      </c>
      <c r="G61" s="226">
        <v>32</v>
      </c>
      <c r="H61" s="220">
        <f t="shared" ref="H61:H62" si="23">G61/2</f>
        <v>16</v>
      </c>
      <c r="I61" s="220">
        <f t="shared" si="17"/>
        <v>16</v>
      </c>
    </row>
    <row r="62" spans="5:9">
      <c r="E62" s="628"/>
      <c r="F62" s="225" t="s">
        <v>283</v>
      </c>
      <c r="G62" s="226">
        <v>18</v>
      </c>
      <c r="H62" s="220">
        <f t="shared" si="23"/>
        <v>9</v>
      </c>
      <c r="I62" s="220">
        <f t="shared" si="17"/>
        <v>9</v>
      </c>
    </row>
    <row r="63" spans="5:9">
      <c r="E63" s="628"/>
      <c r="F63" s="225" t="s">
        <v>151</v>
      </c>
      <c r="G63" s="226">
        <v>15</v>
      </c>
      <c r="H63" s="220">
        <v>8</v>
      </c>
      <c r="I63" s="220">
        <f t="shared" si="17"/>
        <v>7</v>
      </c>
    </row>
    <row r="64" spans="5:9">
      <c r="E64" s="628"/>
      <c r="F64" s="225" t="s">
        <v>114</v>
      </c>
      <c r="G64" s="226">
        <v>23</v>
      </c>
      <c r="H64" s="220">
        <v>12</v>
      </c>
      <c r="I64" s="220">
        <f t="shared" si="17"/>
        <v>11</v>
      </c>
    </row>
    <row r="65" spans="5:9">
      <c r="E65" s="628"/>
      <c r="F65" s="225" t="s">
        <v>284</v>
      </c>
      <c r="G65" s="226">
        <v>16</v>
      </c>
      <c r="H65" s="220">
        <f t="shared" ref="H65" si="24">G65/2</f>
        <v>8</v>
      </c>
      <c r="I65" s="220">
        <f t="shared" si="17"/>
        <v>8</v>
      </c>
    </row>
    <row r="66" spans="5:9">
      <c r="E66" s="628"/>
      <c r="F66" s="225" t="s">
        <v>95</v>
      </c>
      <c r="G66" s="226">
        <v>49</v>
      </c>
      <c r="H66" s="220">
        <v>25</v>
      </c>
      <c r="I66" s="220">
        <f t="shared" si="17"/>
        <v>24</v>
      </c>
    </row>
    <row r="67" spans="5:9">
      <c r="E67" s="628"/>
      <c r="F67" s="225" t="s">
        <v>150</v>
      </c>
      <c r="G67" s="226">
        <v>40</v>
      </c>
      <c r="H67" s="220">
        <f>G67/2</f>
        <v>20</v>
      </c>
      <c r="I67" s="220">
        <f t="shared" si="17"/>
        <v>20</v>
      </c>
    </row>
    <row r="68" spans="5:9">
      <c r="E68" s="628"/>
      <c r="F68" s="225" t="s">
        <v>285</v>
      </c>
      <c r="G68" s="226">
        <v>19</v>
      </c>
      <c r="H68" s="220">
        <v>10</v>
      </c>
      <c r="I68" s="220">
        <f t="shared" si="17"/>
        <v>9</v>
      </c>
    </row>
    <row r="69" spans="5:9">
      <c r="E69" s="630" t="s">
        <v>279</v>
      </c>
      <c r="F69" s="225" t="s">
        <v>101</v>
      </c>
      <c r="G69" s="226">
        <v>42</v>
      </c>
      <c r="H69" s="220">
        <f t="shared" ref="H69:H71" si="25">G69/2</f>
        <v>21</v>
      </c>
      <c r="I69" s="220">
        <f t="shared" si="17"/>
        <v>21</v>
      </c>
    </row>
    <row r="70" spans="5:9">
      <c r="E70" s="630"/>
      <c r="F70" s="225" t="s">
        <v>190</v>
      </c>
      <c r="G70" s="226">
        <v>42</v>
      </c>
      <c r="H70" s="220">
        <f t="shared" si="25"/>
        <v>21</v>
      </c>
      <c r="I70" s="220">
        <f t="shared" si="17"/>
        <v>21</v>
      </c>
    </row>
    <row r="71" spans="5:9">
      <c r="E71" s="630">
        <v>22435</v>
      </c>
      <c r="F71" s="229" t="s">
        <v>101</v>
      </c>
      <c r="G71" s="226">
        <v>24</v>
      </c>
      <c r="H71" s="220">
        <f t="shared" si="25"/>
        <v>12</v>
      </c>
      <c r="I71" s="220">
        <f t="shared" si="17"/>
        <v>12</v>
      </c>
    </row>
    <row r="72" spans="5:9">
      <c r="E72" s="630"/>
      <c r="F72" s="229" t="s">
        <v>150</v>
      </c>
      <c r="G72" s="226">
        <v>21</v>
      </c>
      <c r="H72" s="220">
        <v>11</v>
      </c>
      <c r="I72" s="220">
        <f t="shared" si="17"/>
        <v>10</v>
      </c>
    </row>
    <row r="73" spans="5:9">
      <c r="E73" s="630"/>
      <c r="F73" s="229" t="s">
        <v>95</v>
      </c>
      <c r="G73" s="226">
        <v>15</v>
      </c>
      <c r="H73" s="220">
        <v>8</v>
      </c>
      <c r="I73" s="220">
        <f t="shared" si="17"/>
        <v>7</v>
      </c>
    </row>
    <row r="74" spans="5:9">
      <c r="E74" s="630"/>
      <c r="F74" s="229" t="s">
        <v>283</v>
      </c>
      <c r="G74" s="226">
        <v>16</v>
      </c>
      <c r="H74" s="220">
        <f t="shared" ref="H74" si="26">G74/2</f>
        <v>8</v>
      </c>
      <c r="I74" s="220">
        <f t="shared" si="17"/>
        <v>8</v>
      </c>
    </row>
    <row r="75" spans="5:9">
      <c r="E75" s="630"/>
      <c r="F75" s="229" t="s">
        <v>281</v>
      </c>
      <c r="G75" s="226">
        <v>17</v>
      </c>
      <c r="H75" s="220">
        <v>9</v>
      </c>
      <c r="I75" s="220">
        <f t="shared" si="17"/>
        <v>8</v>
      </c>
    </row>
    <row r="76" spans="5:9" ht="15.75">
      <c r="E76" s="2" t="s">
        <v>4</v>
      </c>
      <c r="F76" s="1"/>
      <c r="G76" s="230">
        <f t="shared" ref="G76" si="27">SUM(G44:G75)</f>
        <v>985</v>
      </c>
      <c r="H76" s="187">
        <f>SUM(H44:H75)</f>
        <v>500</v>
      </c>
      <c r="I76" s="187">
        <f>SUM(I44:I75)</f>
        <v>485</v>
      </c>
    </row>
  </sheetData>
  <mergeCells count="82">
    <mergeCell ref="X36:Y36"/>
    <mergeCell ref="AB36:AC36"/>
    <mergeCell ref="AD28:AD29"/>
    <mergeCell ref="AE28:AE29"/>
    <mergeCell ref="T30:T34"/>
    <mergeCell ref="Z30:Z34"/>
    <mergeCell ref="AA30:AA34"/>
    <mergeCell ref="AB30:AB34"/>
    <mergeCell ref="AC30:AC34"/>
    <mergeCell ref="AD30:AD34"/>
    <mergeCell ref="AE30:AE34"/>
    <mergeCell ref="T28:T29"/>
    <mergeCell ref="Z28:Z29"/>
    <mergeCell ref="AA28:AA29"/>
    <mergeCell ref="AB28:AB29"/>
    <mergeCell ref="AC28:AC29"/>
    <mergeCell ref="AD10:AD17"/>
    <mergeCell ref="AE10:AE17"/>
    <mergeCell ref="T18:T27"/>
    <mergeCell ref="Z18:Z27"/>
    <mergeCell ref="AA18:AA27"/>
    <mergeCell ref="AB18:AB27"/>
    <mergeCell ref="AC18:AC27"/>
    <mergeCell ref="AD18:AD27"/>
    <mergeCell ref="AE18:AE27"/>
    <mergeCell ref="T10:T17"/>
    <mergeCell ref="Z10:Z17"/>
    <mergeCell ref="AA10:AA17"/>
    <mergeCell ref="AB10:AB17"/>
    <mergeCell ref="AC10:AC17"/>
    <mergeCell ref="T1:AF1"/>
    <mergeCell ref="T4:T9"/>
    <mergeCell ref="Z4:Z9"/>
    <mergeCell ref="AA4:AA9"/>
    <mergeCell ref="AB4:AB9"/>
    <mergeCell ref="AC4:AC9"/>
    <mergeCell ref="AD4:AD9"/>
    <mergeCell ref="AE4:AE9"/>
    <mergeCell ref="L4:L9"/>
    <mergeCell ref="G10:G17"/>
    <mergeCell ref="H10:H17"/>
    <mergeCell ref="I10:I17"/>
    <mergeCell ref="J10:J17"/>
    <mergeCell ref="K10:K17"/>
    <mergeCell ref="L10:L17"/>
    <mergeCell ref="A1:M1"/>
    <mergeCell ref="J4:J9"/>
    <mergeCell ref="K4:K9"/>
    <mergeCell ref="E36:F36"/>
    <mergeCell ref="I36:J36"/>
    <mergeCell ref="A4:A9"/>
    <mergeCell ref="A10:A17"/>
    <mergeCell ref="A18:A27"/>
    <mergeCell ref="A28:A29"/>
    <mergeCell ref="A30:A34"/>
    <mergeCell ref="G4:G9"/>
    <mergeCell ref="H4:H9"/>
    <mergeCell ref="I4:I9"/>
    <mergeCell ref="G30:G34"/>
    <mergeCell ref="H30:H34"/>
    <mergeCell ref="I30:I34"/>
    <mergeCell ref="E71:E75"/>
    <mergeCell ref="I18:I27"/>
    <mergeCell ref="J18:J27"/>
    <mergeCell ref="K18:K27"/>
    <mergeCell ref="L18:L27"/>
    <mergeCell ref="J30:J34"/>
    <mergeCell ref="G18:G27"/>
    <mergeCell ref="H18:H27"/>
    <mergeCell ref="K30:K34"/>
    <mergeCell ref="L30:L34"/>
    <mergeCell ref="G28:G29"/>
    <mergeCell ref="H28:H29"/>
    <mergeCell ref="I28:I29"/>
    <mergeCell ref="J28:J29"/>
    <mergeCell ref="K28:K29"/>
    <mergeCell ref="L28:L29"/>
    <mergeCell ref="E41:I42"/>
    <mergeCell ref="E45:E50"/>
    <mergeCell ref="E51:E58"/>
    <mergeCell ref="E59:E68"/>
    <mergeCell ref="E69:E70"/>
  </mergeCells>
  <pageMargins left="0.28999999999999998" right="0.14000000000000001" top="0.3" bottom="0.14000000000000001" header="0.15" footer="0.14000000000000001"/>
  <pageSetup paperSize="9" scale="4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opLeftCell="L1" workbookViewId="0">
      <selection activeCell="Q1" sqref="Q1:AD1"/>
    </sheetView>
  </sheetViews>
  <sheetFormatPr defaultRowHeight="15"/>
  <cols>
    <col min="1" max="1" width="14.28515625" customWidth="1"/>
    <col min="4" max="4" width="5" bestFit="1" customWidth="1"/>
    <col min="6" max="6" width="13.42578125" customWidth="1"/>
    <col min="11" max="11" width="13.7109375" customWidth="1"/>
    <col min="17" max="17" width="10.7109375" customWidth="1"/>
    <col min="26" max="26" width="10.5703125" bestFit="1" customWidth="1"/>
    <col min="27" max="27" width="11.140625" customWidth="1"/>
    <col min="31" max="31" width="12" bestFit="1" customWidth="1"/>
  </cols>
  <sheetData>
    <row r="1" spans="1:30" ht="28.5">
      <c r="A1" s="605" t="s">
        <v>274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Q1" s="642" t="s">
        <v>141</v>
      </c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</row>
    <row r="2" spans="1:30" ht="31.5">
      <c r="A2" s="278" t="s">
        <v>0</v>
      </c>
      <c r="B2" s="278" t="s">
        <v>140</v>
      </c>
      <c r="C2" s="279" t="s">
        <v>123</v>
      </c>
      <c r="D2" s="279" t="s">
        <v>2</v>
      </c>
      <c r="E2" s="279" t="s">
        <v>3</v>
      </c>
      <c r="F2" s="280" t="s">
        <v>4</v>
      </c>
      <c r="G2" s="281" t="s">
        <v>5</v>
      </c>
      <c r="H2" s="281" t="s">
        <v>6</v>
      </c>
      <c r="I2" s="281" t="s">
        <v>7</v>
      </c>
      <c r="J2" s="279" t="s">
        <v>8</v>
      </c>
      <c r="K2" s="282" t="s">
        <v>9</v>
      </c>
      <c r="L2" s="281" t="s">
        <v>10</v>
      </c>
      <c r="M2" s="283" t="s">
        <v>125</v>
      </c>
      <c r="N2" s="277" t="s">
        <v>317</v>
      </c>
      <c r="O2" s="56" t="s">
        <v>4</v>
      </c>
      <c r="P2" s="56" t="s">
        <v>314</v>
      </c>
      <c r="Q2" s="100" t="s">
        <v>0</v>
      </c>
      <c r="R2" s="100" t="s">
        <v>140</v>
      </c>
      <c r="S2" s="101" t="s">
        <v>123</v>
      </c>
      <c r="T2" s="101" t="s">
        <v>2</v>
      </c>
      <c r="U2" s="101" t="s">
        <v>3</v>
      </c>
      <c r="V2" s="246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125</v>
      </c>
      <c r="AD2" s="277" t="s">
        <v>316</v>
      </c>
    </row>
    <row r="3" spans="1:30" ht="15" customHeight="1">
      <c r="A3" s="632" t="s">
        <v>109</v>
      </c>
      <c r="B3" s="211" t="s">
        <v>101</v>
      </c>
      <c r="C3" s="211">
        <v>1023</v>
      </c>
      <c r="D3" s="211">
        <v>0.7</v>
      </c>
      <c r="E3" s="244">
        <v>315</v>
      </c>
      <c r="F3" s="247">
        <f>C3*D3*E3</f>
        <v>225571.49999999997</v>
      </c>
      <c r="G3" s="640">
        <v>3125</v>
      </c>
      <c r="H3" s="590">
        <v>8762</v>
      </c>
      <c r="I3" s="590">
        <v>600</v>
      </c>
      <c r="J3" s="590">
        <f>G3/H3*SUM(C3:C10)*I3</f>
        <v>935146.08536863723</v>
      </c>
      <c r="K3" s="582">
        <f>J3+SUM(F3:F10)</f>
        <v>1898731.0853686372</v>
      </c>
      <c r="L3" s="582">
        <f>K3/SUM(C3:C10)</f>
        <v>434.49223921479114</v>
      </c>
      <c r="M3" s="211">
        <v>67</v>
      </c>
      <c r="N3" s="74">
        <v>34</v>
      </c>
      <c r="O3" s="264">
        <v>2013</v>
      </c>
      <c r="P3">
        <f t="shared" ref="P3:P34" si="0">S3+C3-O3</f>
        <v>0</v>
      </c>
      <c r="Q3" s="637" t="s">
        <v>109</v>
      </c>
      <c r="R3" s="276" t="s">
        <v>101</v>
      </c>
      <c r="S3" s="276">
        <v>990</v>
      </c>
      <c r="T3" s="276">
        <v>0.7</v>
      </c>
      <c r="U3" s="274">
        <v>315</v>
      </c>
      <c r="V3" s="247">
        <f>S3*T3*U3</f>
        <v>218295</v>
      </c>
      <c r="W3" s="633">
        <v>3125</v>
      </c>
      <c r="X3" s="540">
        <v>8762</v>
      </c>
      <c r="Y3" s="540">
        <v>600</v>
      </c>
      <c r="Z3" s="598">
        <f>W3/X3*SUM(S3:S10)*Y3</f>
        <v>920594.61310203152</v>
      </c>
      <c r="AA3" s="598">
        <f>Z3+SUM(V3:V10)</f>
        <v>1869185.6131020314</v>
      </c>
      <c r="AB3" s="598">
        <f>AA3/SUM(S3:S10)</f>
        <v>434.49223921479114</v>
      </c>
      <c r="AC3" s="276">
        <v>67</v>
      </c>
      <c r="AD3" s="74">
        <v>33</v>
      </c>
    </row>
    <row r="4" spans="1:30" ht="15.75">
      <c r="A4" s="632"/>
      <c r="B4" s="211" t="s">
        <v>150</v>
      </c>
      <c r="C4" s="211">
        <v>696</v>
      </c>
      <c r="D4" s="211">
        <v>0.7</v>
      </c>
      <c r="E4" s="249">
        <v>315</v>
      </c>
      <c r="F4" s="247">
        <f t="shared" ref="F4:F67" si="1">C4*D4*E4</f>
        <v>153468</v>
      </c>
      <c r="G4" s="640"/>
      <c r="H4" s="590"/>
      <c r="I4" s="590"/>
      <c r="J4" s="590"/>
      <c r="K4" s="582"/>
      <c r="L4" s="582"/>
      <c r="M4" s="211">
        <v>45</v>
      </c>
      <c r="N4" s="74">
        <v>23</v>
      </c>
      <c r="O4" s="264">
        <v>1356</v>
      </c>
      <c r="P4">
        <f t="shared" si="0"/>
        <v>0</v>
      </c>
      <c r="Q4" s="638"/>
      <c r="R4" s="276" t="s">
        <v>150</v>
      </c>
      <c r="S4" s="276">
        <v>660</v>
      </c>
      <c r="T4" s="276">
        <v>0.7</v>
      </c>
      <c r="U4" s="274">
        <v>315</v>
      </c>
      <c r="V4" s="247">
        <f t="shared" ref="V4:V67" si="2">S4*T4*U4</f>
        <v>145529.99999999997</v>
      </c>
      <c r="W4" s="635"/>
      <c r="X4" s="549"/>
      <c r="Y4" s="549"/>
      <c r="Z4" s="601"/>
      <c r="AA4" s="601"/>
      <c r="AB4" s="601"/>
      <c r="AC4" s="276">
        <v>45</v>
      </c>
      <c r="AD4" s="74">
        <v>22</v>
      </c>
    </row>
    <row r="5" spans="1:30" ht="15" customHeight="1">
      <c r="A5" s="632"/>
      <c r="B5" s="211" t="s">
        <v>95</v>
      </c>
      <c r="C5" s="211">
        <v>670</v>
      </c>
      <c r="D5" s="211">
        <v>0.7</v>
      </c>
      <c r="E5" s="249">
        <v>315</v>
      </c>
      <c r="F5" s="247">
        <f t="shared" si="1"/>
        <v>147734.99999999997</v>
      </c>
      <c r="G5" s="640"/>
      <c r="H5" s="590"/>
      <c r="I5" s="590"/>
      <c r="J5" s="590"/>
      <c r="K5" s="582"/>
      <c r="L5" s="582"/>
      <c r="M5" s="211">
        <v>43</v>
      </c>
      <c r="N5" s="74">
        <v>22</v>
      </c>
      <c r="O5" s="264">
        <v>1300</v>
      </c>
      <c r="P5">
        <f t="shared" si="0"/>
        <v>0</v>
      </c>
      <c r="Q5" s="638"/>
      <c r="R5" s="276" t="s">
        <v>95</v>
      </c>
      <c r="S5" s="276">
        <v>630</v>
      </c>
      <c r="T5" s="276">
        <v>0.7</v>
      </c>
      <c r="U5" s="274">
        <v>315</v>
      </c>
      <c r="V5" s="247">
        <f t="shared" si="2"/>
        <v>138915</v>
      </c>
      <c r="W5" s="635"/>
      <c r="X5" s="549"/>
      <c r="Y5" s="549"/>
      <c r="Z5" s="601"/>
      <c r="AA5" s="601"/>
      <c r="AB5" s="601"/>
      <c r="AC5" s="276">
        <v>43</v>
      </c>
      <c r="AD5" s="74">
        <v>21</v>
      </c>
    </row>
    <row r="6" spans="1:30" ht="15.75">
      <c r="A6" s="632"/>
      <c r="B6" s="211" t="s">
        <v>102</v>
      </c>
      <c r="C6" s="211">
        <v>786</v>
      </c>
      <c r="D6" s="211">
        <v>0.7</v>
      </c>
      <c r="E6" s="249">
        <v>315</v>
      </c>
      <c r="F6" s="247">
        <f t="shared" si="1"/>
        <v>173312.99999999997</v>
      </c>
      <c r="G6" s="640"/>
      <c r="H6" s="590"/>
      <c r="I6" s="590"/>
      <c r="J6" s="590"/>
      <c r="K6" s="582"/>
      <c r="L6" s="582"/>
      <c r="M6" s="211">
        <v>52</v>
      </c>
      <c r="N6" s="74">
        <v>26</v>
      </c>
      <c r="O6" s="264">
        <v>1566</v>
      </c>
      <c r="P6">
        <f t="shared" si="0"/>
        <v>0</v>
      </c>
      <c r="Q6" s="638"/>
      <c r="R6" s="276" t="s">
        <v>102</v>
      </c>
      <c r="S6" s="276">
        <v>780</v>
      </c>
      <c r="T6" s="276">
        <v>0.7</v>
      </c>
      <c r="U6" s="274">
        <v>315</v>
      </c>
      <c r="V6" s="247">
        <f t="shared" si="2"/>
        <v>171990</v>
      </c>
      <c r="W6" s="635"/>
      <c r="X6" s="549"/>
      <c r="Y6" s="549"/>
      <c r="Z6" s="601"/>
      <c r="AA6" s="601"/>
      <c r="AB6" s="601"/>
      <c r="AC6" s="276">
        <v>52</v>
      </c>
      <c r="AD6" s="74">
        <v>26</v>
      </c>
    </row>
    <row r="7" spans="1:30" ht="15.75">
      <c r="A7" s="632"/>
      <c r="B7" s="211" t="s">
        <v>100</v>
      </c>
      <c r="C7" s="211">
        <v>270</v>
      </c>
      <c r="D7" s="195">
        <v>0.7</v>
      </c>
      <c r="E7" s="249">
        <v>315</v>
      </c>
      <c r="F7" s="247">
        <f t="shared" si="1"/>
        <v>59535</v>
      </c>
      <c r="G7" s="640"/>
      <c r="H7" s="590"/>
      <c r="I7" s="590"/>
      <c r="J7" s="590"/>
      <c r="K7" s="582"/>
      <c r="L7" s="582"/>
      <c r="M7" s="211">
        <v>18</v>
      </c>
      <c r="N7" s="74">
        <v>9</v>
      </c>
      <c r="O7" s="264">
        <v>560</v>
      </c>
      <c r="P7">
        <f t="shared" si="0"/>
        <v>0</v>
      </c>
      <c r="Q7" s="638"/>
      <c r="R7" s="276" t="s">
        <v>100</v>
      </c>
      <c r="S7" s="276">
        <v>290</v>
      </c>
      <c r="T7" s="195">
        <v>0.7</v>
      </c>
      <c r="U7" s="274">
        <v>315</v>
      </c>
      <c r="V7" s="247">
        <f t="shared" si="2"/>
        <v>63945</v>
      </c>
      <c r="W7" s="635"/>
      <c r="X7" s="549"/>
      <c r="Y7" s="549"/>
      <c r="Z7" s="601"/>
      <c r="AA7" s="601"/>
      <c r="AB7" s="601"/>
      <c r="AC7" s="276">
        <v>18</v>
      </c>
      <c r="AD7" s="74">
        <v>9</v>
      </c>
    </row>
    <row r="8" spans="1:30" ht="15.75">
      <c r="A8" s="632"/>
      <c r="B8" s="211" t="s">
        <v>114</v>
      </c>
      <c r="C8" s="211">
        <v>360</v>
      </c>
      <c r="D8" s="195">
        <v>0.7</v>
      </c>
      <c r="E8" s="249">
        <v>315</v>
      </c>
      <c r="F8" s="247">
        <f t="shared" si="1"/>
        <v>79379.999999999985</v>
      </c>
      <c r="G8" s="640"/>
      <c r="H8" s="590"/>
      <c r="I8" s="590"/>
      <c r="J8" s="590"/>
      <c r="K8" s="582"/>
      <c r="L8" s="582"/>
      <c r="M8" s="211">
        <v>23</v>
      </c>
      <c r="N8" s="74">
        <v>12</v>
      </c>
      <c r="O8" s="264">
        <v>682</v>
      </c>
      <c r="P8">
        <f t="shared" si="0"/>
        <v>0</v>
      </c>
      <c r="Q8" s="638"/>
      <c r="R8" s="276" t="s">
        <v>114</v>
      </c>
      <c r="S8" s="276">
        <v>322</v>
      </c>
      <c r="T8" s="195">
        <v>0.7</v>
      </c>
      <c r="U8" s="274">
        <v>315</v>
      </c>
      <c r="V8" s="247">
        <f t="shared" si="2"/>
        <v>71001</v>
      </c>
      <c r="W8" s="635"/>
      <c r="X8" s="549"/>
      <c r="Y8" s="549"/>
      <c r="Z8" s="601"/>
      <c r="AA8" s="601"/>
      <c r="AB8" s="601"/>
      <c r="AC8" s="276">
        <v>23</v>
      </c>
      <c r="AD8" s="74">
        <v>11</v>
      </c>
    </row>
    <row r="9" spans="1:30" ht="15.75">
      <c r="A9" s="632"/>
      <c r="B9" s="211" t="s">
        <v>110</v>
      </c>
      <c r="C9" s="211">
        <v>235</v>
      </c>
      <c r="D9" s="195">
        <v>0.7</v>
      </c>
      <c r="E9" s="249">
        <v>315</v>
      </c>
      <c r="F9" s="247">
        <f t="shared" si="1"/>
        <v>51817.5</v>
      </c>
      <c r="G9" s="640"/>
      <c r="H9" s="590"/>
      <c r="I9" s="590"/>
      <c r="J9" s="590"/>
      <c r="K9" s="582"/>
      <c r="L9" s="582"/>
      <c r="M9" s="211">
        <v>21</v>
      </c>
      <c r="N9" s="74">
        <v>11</v>
      </c>
      <c r="O9" s="264">
        <v>625</v>
      </c>
      <c r="P9">
        <f t="shared" si="0"/>
        <v>-90</v>
      </c>
      <c r="Q9" s="638"/>
      <c r="R9" s="276" t="s">
        <v>110</v>
      </c>
      <c r="S9" s="276">
        <v>300</v>
      </c>
      <c r="T9" s="195">
        <v>0.7</v>
      </c>
      <c r="U9" s="274">
        <v>315</v>
      </c>
      <c r="V9" s="247">
        <f t="shared" si="2"/>
        <v>66150</v>
      </c>
      <c r="W9" s="635"/>
      <c r="X9" s="549"/>
      <c r="Y9" s="549"/>
      <c r="Z9" s="601"/>
      <c r="AA9" s="601"/>
      <c r="AB9" s="601"/>
      <c r="AC9" s="276">
        <v>21</v>
      </c>
      <c r="AD9" s="74">
        <v>10</v>
      </c>
    </row>
    <row r="10" spans="1:30" ht="15" customHeight="1">
      <c r="A10" s="632"/>
      <c r="B10" s="211" t="s">
        <v>190</v>
      </c>
      <c r="C10" s="211">
        <v>330</v>
      </c>
      <c r="D10" s="195">
        <v>0.7</v>
      </c>
      <c r="E10" s="249">
        <v>315</v>
      </c>
      <c r="F10" s="247">
        <f t="shared" si="1"/>
        <v>72764.999999999985</v>
      </c>
      <c r="G10" s="640"/>
      <c r="H10" s="590"/>
      <c r="I10" s="590"/>
      <c r="J10" s="590"/>
      <c r="K10" s="582"/>
      <c r="L10" s="582"/>
      <c r="M10" s="211">
        <v>22</v>
      </c>
      <c r="N10" s="74">
        <v>11</v>
      </c>
      <c r="O10" s="264">
        <v>660</v>
      </c>
      <c r="P10">
        <f t="shared" si="0"/>
        <v>0</v>
      </c>
      <c r="Q10" s="639"/>
      <c r="R10" s="276" t="s">
        <v>190</v>
      </c>
      <c r="S10" s="276">
        <v>330</v>
      </c>
      <c r="T10" s="195">
        <v>0.7</v>
      </c>
      <c r="U10" s="274">
        <v>315</v>
      </c>
      <c r="V10" s="247">
        <f t="shared" si="2"/>
        <v>72764.999999999985</v>
      </c>
      <c r="W10" s="634"/>
      <c r="X10" s="541"/>
      <c r="Y10" s="541"/>
      <c r="Z10" s="599"/>
      <c r="AA10" s="599"/>
      <c r="AB10" s="599"/>
      <c r="AC10" s="276">
        <v>22</v>
      </c>
      <c r="AD10" s="74">
        <v>11</v>
      </c>
    </row>
    <row r="11" spans="1:30" ht="15.75">
      <c r="A11" s="632" t="s">
        <v>46</v>
      </c>
      <c r="B11" s="211" t="s">
        <v>94</v>
      </c>
      <c r="C11" s="211">
        <v>1099</v>
      </c>
      <c r="D11" s="195">
        <v>0.7</v>
      </c>
      <c r="E11" s="249">
        <v>315</v>
      </c>
      <c r="F11" s="247">
        <f t="shared" si="1"/>
        <v>242329.5</v>
      </c>
      <c r="G11" s="640">
        <v>2479</v>
      </c>
      <c r="H11" s="590">
        <v>8956</v>
      </c>
      <c r="I11" s="590">
        <v>600</v>
      </c>
      <c r="J11" s="590">
        <f>G11/H11*SUM(C11:C17)*I11</f>
        <v>754329.03081732919</v>
      </c>
      <c r="K11" s="582">
        <f>J11+SUM(F11:F17)</f>
        <v>1726324.5308173292</v>
      </c>
      <c r="L11" s="582">
        <f>K11/SUM(C11:C17)</f>
        <v>380.08025777572198</v>
      </c>
      <c r="M11" s="211">
        <v>73</v>
      </c>
      <c r="N11" s="74">
        <v>37</v>
      </c>
      <c r="O11" s="264">
        <v>2179</v>
      </c>
      <c r="P11">
        <f t="shared" si="0"/>
        <v>0</v>
      </c>
      <c r="Q11" s="637" t="s">
        <v>46</v>
      </c>
      <c r="R11" s="276" t="s">
        <v>94</v>
      </c>
      <c r="S11" s="276">
        <v>1080</v>
      </c>
      <c r="T11" s="195">
        <v>0.7</v>
      </c>
      <c r="U11" s="274">
        <v>315</v>
      </c>
      <c r="V11" s="247">
        <f t="shared" si="2"/>
        <v>238140</v>
      </c>
      <c r="W11" s="633">
        <v>2479</v>
      </c>
      <c r="X11" s="540">
        <v>8956</v>
      </c>
      <c r="Y11" s="540">
        <v>600</v>
      </c>
      <c r="Z11" s="598">
        <f>W11/X11*SUM(S11:S17)*Y11</f>
        <v>733070.96918267081</v>
      </c>
      <c r="AA11" s="598">
        <f>Z11+SUM(V11:V17)</f>
        <v>1677299.2191826708</v>
      </c>
      <c r="AB11" s="598">
        <f>AA11/SUM(S11:S17)</f>
        <v>379.99529206675822</v>
      </c>
      <c r="AC11" s="276">
        <v>73</v>
      </c>
      <c r="AD11" s="74">
        <v>36</v>
      </c>
    </row>
    <row r="12" spans="1:30" ht="15.75">
      <c r="A12" s="632"/>
      <c r="B12" s="211" t="s">
        <v>112</v>
      </c>
      <c r="C12" s="211">
        <v>758</v>
      </c>
      <c r="D12" s="195">
        <v>0.65</v>
      </c>
      <c r="E12" s="249">
        <v>315</v>
      </c>
      <c r="F12" s="247">
        <f t="shared" si="1"/>
        <v>155200.5</v>
      </c>
      <c r="G12" s="640"/>
      <c r="H12" s="590"/>
      <c r="I12" s="590"/>
      <c r="J12" s="590"/>
      <c r="K12" s="582"/>
      <c r="L12" s="582"/>
      <c r="M12" s="211">
        <v>50</v>
      </c>
      <c r="N12" s="74">
        <v>25</v>
      </c>
      <c r="O12" s="264">
        <v>1508</v>
      </c>
      <c r="P12">
        <f t="shared" si="0"/>
        <v>0</v>
      </c>
      <c r="Q12" s="638"/>
      <c r="R12" s="276" t="s">
        <v>112</v>
      </c>
      <c r="S12" s="276">
        <v>750</v>
      </c>
      <c r="T12" s="195">
        <v>0.65</v>
      </c>
      <c r="U12" s="274">
        <v>315</v>
      </c>
      <c r="V12" s="247">
        <f t="shared" si="2"/>
        <v>153562.5</v>
      </c>
      <c r="W12" s="635"/>
      <c r="X12" s="549"/>
      <c r="Y12" s="549"/>
      <c r="Z12" s="601"/>
      <c r="AA12" s="601"/>
      <c r="AB12" s="601"/>
      <c r="AC12" s="276">
        <v>50</v>
      </c>
      <c r="AD12" s="74">
        <v>25</v>
      </c>
    </row>
    <row r="13" spans="1:30" ht="15.75">
      <c r="A13" s="632"/>
      <c r="B13" s="211" t="s">
        <v>95</v>
      </c>
      <c r="C13" s="211">
        <v>499</v>
      </c>
      <c r="D13" s="195">
        <v>0.7</v>
      </c>
      <c r="E13" s="249">
        <v>315</v>
      </c>
      <c r="F13" s="247">
        <f t="shared" si="1"/>
        <v>110029.49999999999</v>
      </c>
      <c r="G13" s="640"/>
      <c r="H13" s="590"/>
      <c r="I13" s="590"/>
      <c r="J13" s="590"/>
      <c r="K13" s="582"/>
      <c r="L13" s="582"/>
      <c r="M13" s="211">
        <v>32</v>
      </c>
      <c r="N13" s="74">
        <v>16</v>
      </c>
      <c r="O13" s="264">
        <v>979</v>
      </c>
      <c r="P13">
        <f t="shared" si="0"/>
        <v>0</v>
      </c>
      <c r="Q13" s="638"/>
      <c r="R13" s="276" t="s">
        <v>95</v>
      </c>
      <c r="S13" s="276">
        <v>480</v>
      </c>
      <c r="T13" s="195">
        <v>0.7</v>
      </c>
      <c r="U13" s="274">
        <v>315</v>
      </c>
      <c r="V13" s="247">
        <f t="shared" si="2"/>
        <v>105840</v>
      </c>
      <c r="W13" s="635"/>
      <c r="X13" s="549"/>
      <c r="Y13" s="549"/>
      <c r="Z13" s="601"/>
      <c r="AA13" s="601"/>
      <c r="AB13" s="601"/>
      <c r="AC13" s="276">
        <v>32</v>
      </c>
      <c r="AD13" s="74">
        <v>16</v>
      </c>
    </row>
    <row r="14" spans="1:30" ht="15.75">
      <c r="A14" s="632"/>
      <c r="B14" s="211" t="s">
        <v>96</v>
      </c>
      <c r="C14" s="211">
        <v>560</v>
      </c>
      <c r="D14" s="195">
        <v>0.7</v>
      </c>
      <c r="E14" s="249">
        <v>315</v>
      </c>
      <c r="F14" s="247">
        <f t="shared" si="1"/>
        <v>123480</v>
      </c>
      <c r="G14" s="640"/>
      <c r="H14" s="590"/>
      <c r="I14" s="590"/>
      <c r="J14" s="590"/>
      <c r="K14" s="582"/>
      <c r="L14" s="582"/>
      <c r="M14" s="211">
        <v>35</v>
      </c>
      <c r="N14" s="74">
        <v>18</v>
      </c>
      <c r="O14" s="264">
        <v>1070</v>
      </c>
      <c r="P14">
        <f t="shared" si="0"/>
        <v>0</v>
      </c>
      <c r="Q14" s="638"/>
      <c r="R14" s="276" t="s">
        <v>96</v>
      </c>
      <c r="S14" s="276">
        <v>510</v>
      </c>
      <c r="T14" s="195">
        <v>0.7</v>
      </c>
      <c r="U14" s="274">
        <v>315</v>
      </c>
      <c r="V14" s="247">
        <f t="shared" si="2"/>
        <v>112455</v>
      </c>
      <c r="W14" s="635"/>
      <c r="X14" s="549"/>
      <c r="Y14" s="549"/>
      <c r="Z14" s="601"/>
      <c r="AA14" s="601"/>
      <c r="AB14" s="601"/>
      <c r="AC14" s="276">
        <v>35</v>
      </c>
      <c r="AD14" s="74">
        <v>17</v>
      </c>
    </row>
    <row r="15" spans="1:30" ht="15.75">
      <c r="A15" s="632"/>
      <c r="B15" s="211" t="s">
        <v>150</v>
      </c>
      <c r="C15" s="211">
        <v>510</v>
      </c>
      <c r="D15" s="195">
        <v>0.65</v>
      </c>
      <c r="E15" s="249">
        <v>315</v>
      </c>
      <c r="F15" s="247">
        <f t="shared" si="1"/>
        <v>104422.5</v>
      </c>
      <c r="G15" s="640"/>
      <c r="H15" s="590"/>
      <c r="I15" s="590"/>
      <c r="J15" s="590"/>
      <c r="K15" s="582"/>
      <c r="L15" s="582"/>
      <c r="M15" s="211">
        <v>33</v>
      </c>
      <c r="N15" s="74">
        <v>17</v>
      </c>
      <c r="O15" s="264">
        <v>1005</v>
      </c>
      <c r="P15">
        <f t="shared" si="0"/>
        <v>0</v>
      </c>
      <c r="Q15" s="638"/>
      <c r="R15" s="276" t="s">
        <v>150</v>
      </c>
      <c r="S15" s="276">
        <v>495</v>
      </c>
      <c r="T15" s="195">
        <v>0.65</v>
      </c>
      <c r="U15" s="274">
        <v>315</v>
      </c>
      <c r="V15" s="247">
        <f t="shared" si="2"/>
        <v>101351.25</v>
      </c>
      <c r="W15" s="635"/>
      <c r="X15" s="549"/>
      <c r="Y15" s="549"/>
      <c r="Z15" s="601"/>
      <c r="AA15" s="601"/>
      <c r="AB15" s="601"/>
      <c r="AC15" s="276">
        <v>33</v>
      </c>
      <c r="AD15" s="74">
        <v>16</v>
      </c>
    </row>
    <row r="16" spans="1:30" ht="15.75">
      <c r="A16" s="632"/>
      <c r="B16" s="211" t="s">
        <v>101</v>
      </c>
      <c r="C16" s="211">
        <v>606</v>
      </c>
      <c r="D16" s="195">
        <v>0.65</v>
      </c>
      <c r="E16" s="249">
        <v>315</v>
      </c>
      <c r="F16" s="247">
        <f t="shared" si="1"/>
        <v>124078.50000000001</v>
      </c>
      <c r="G16" s="640"/>
      <c r="H16" s="590"/>
      <c r="I16" s="590"/>
      <c r="J16" s="590"/>
      <c r="K16" s="582"/>
      <c r="L16" s="582"/>
      <c r="M16" s="211">
        <v>40</v>
      </c>
      <c r="N16" s="74">
        <v>20</v>
      </c>
      <c r="O16" s="264">
        <v>1206</v>
      </c>
      <c r="P16">
        <f t="shared" si="0"/>
        <v>0</v>
      </c>
      <c r="Q16" s="638"/>
      <c r="R16" s="276" t="s">
        <v>101</v>
      </c>
      <c r="S16" s="276">
        <v>600</v>
      </c>
      <c r="T16" s="195">
        <v>0.65</v>
      </c>
      <c r="U16" s="274">
        <v>315</v>
      </c>
      <c r="V16" s="247">
        <f t="shared" si="2"/>
        <v>122850</v>
      </c>
      <c r="W16" s="635"/>
      <c r="X16" s="549"/>
      <c r="Y16" s="549"/>
      <c r="Z16" s="601"/>
      <c r="AA16" s="601"/>
      <c r="AB16" s="601"/>
      <c r="AC16" s="276">
        <v>40</v>
      </c>
      <c r="AD16" s="74">
        <v>20</v>
      </c>
    </row>
    <row r="17" spans="1:30" ht="15.75">
      <c r="A17" s="632"/>
      <c r="B17" s="211" t="s">
        <v>102</v>
      </c>
      <c r="C17" s="211">
        <v>510</v>
      </c>
      <c r="D17" s="195">
        <v>0.7</v>
      </c>
      <c r="E17" s="249">
        <v>315</v>
      </c>
      <c r="F17" s="247">
        <f t="shared" si="1"/>
        <v>112455</v>
      </c>
      <c r="G17" s="640"/>
      <c r="H17" s="590"/>
      <c r="I17" s="590"/>
      <c r="J17" s="590"/>
      <c r="K17" s="582"/>
      <c r="L17" s="582"/>
      <c r="M17" s="211">
        <v>34</v>
      </c>
      <c r="N17" s="74">
        <v>17</v>
      </c>
      <c r="O17" s="264">
        <v>1009</v>
      </c>
      <c r="P17">
        <f t="shared" si="0"/>
        <v>0</v>
      </c>
      <c r="Q17" s="639"/>
      <c r="R17" s="276" t="s">
        <v>102</v>
      </c>
      <c r="S17" s="276">
        <v>499</v>
      </c>
      <c r="T17" s="195">
        <v>0.7</v>
      </c>
      <c r="U17" s="274">
        <v>315</v>
      </c>
      <c r="V17" s="247">
        <f t="shared" si="2"/>
        <v>110029.49999999999</v>
      </c>
      <c r="W17" s="634"/>
      <c r="X17" s="541"/>
      <c r="Y17" s="541"/>
      <c r="Z17" s="599"/>
      <c r="AA17" s="599"/>
      <c r="AB17" s="599"/>
      <c r="AC17" s="276">
        <v>34</v>
      </c>
      <c r="AD17" s="74">
        <v>17</v>
      </c>
    </row>
    <row r="18" spans="1:30" ht="15" customHeight="1">
      <c r="A18" s="632" t="s">
        <v>267</v>
      </c>
      <c r="B18" s="211" t="s">
        <v>101</v>
      </c>
      <c r="C18" s="211">
        <v>329</v>
      </c>
      <c r="D18" s="195">
        <v>1.9</v>
      </c>
      <c r="E18" s="249">
        <v>315</v>
      </c>
      <c r="F18" s="247">
        <f t="shared" si="1"/>
        <v>196906.5</v>
      </c>
      <c r="G18" s="640">
        <v>528</v>
      </c>
      <c r="H18" s="590">
        <v>1394</v>
      </c>
      <c r="I18" s="590">
        <v>600</v>
      </c>
      <c r="J18" s="590">
        <f>G18/H18*SUM(C18:C19)*I18</f>
        <v>155672.88378766138</v>
      </c>
      <c r="K18" s="582">
        <f>J18+SUM(F18:F19)</f>
        <v>565645.38378766133</v>
      </c>
      <c r="L18" s="582">
        <f>K18/SUM(C18:C19)</f>
        <v>825.75968436154938</v>
      </c>
      <c r="M18" s="211">
        <v>22</v>
      </c>
      <c r="N18" s="74">
        <v>11</v>
      </c>
      <c r="O18" s="264">
        <v>678</v>
      </c>
      <c r="P18">
        <f t="shared" si="0"/>
        <v>0</v>
      </c>
      <c r="Q18" s="637" t="s">
        <v>267</v>
      </c>
      <c r="R18" s="276" t="s">
        <v>101</v>
      </c>
      <c r="S18" s="276">
        <v>349</v>
      </c>
      <c r="T18" s="195">
        <v>1.9</v>
      </c>
      <c r="U18" s="274">
        <v>315</v>
      </c>
      <c r="V18" s="247">
        <f t="shared" si="2"/>
        <v>208876.5</v>
      </c>
      <c r="W18" s="633">
        <v>528</v>
      </c>
      <c r="X18" s="540">
        <v>1394</v>
      </c>
      <c r="Y18" s="540">
        <v>600</v>
      </c>
      <c r="Z18" s="598">
        <f>W18/X18*SUM(S18:S19)*Y18</f>
        <v>161127.11621233862</v>
      </c>
      <c r="AA18" s="598">
        <f>Z18+SUM(V18:V19)</f>
        <v>585463.61621233867</v>
      </c>
      <c r="AB18" s="598">
        <f>AA18/SUM(S18:S19)</f>
        <v>825.7596843615496</v>
      </c>
      <c r="AC18" s="276">
        <v>22</v>
      </c>
      <c r="AD18" s="74">
        <v>11</v>
      </c>
    </row>
    <row r="19" spans="1:30" ht="15.75">
      <c r="A19" s="632"/>
      <c r="B19" s="211" t="s">
        <v>271</v>
      </c>
      <c r="C19" s="211">
        <v>356</v>
      </c>
      <c r="D19" s="195">
        <v>1.9</v>
      </c>
      <c r="E19" s="249">
        <v>315</v>
      </c>
      <c r="F19" s="247">
        <f t="shared" si="1"/>
        <v>213066</v>
      </c>
      <c r="G19" s="640"/>
      <c r="H19" s="590"/>
      <c r="I19" s="590"/>
      <c r="J19" s="590"/>
      <c r="K19" s="582"/>
      <c r="L19" s="582"/>
      <c r="M19" s="211">
        <v>24</v>
      </c>
      <c r="N19" s="74">
        <v>12</v>
      </c>
      <c r="O19" s="264">
        <v>716</v>
      </c>
      <c r="P19">
        <f t="shared" si="0"/>
        <v>0</v>
      </c>
      <c r="Q19" s="639"/>
      <c r="R19" s="276" t="s">
        <v>271</v>
      </c>
      <c r="S19" s="276">
        <v>360</v>
      </c>
      <c r="T19" s="195">
        <v>1.9</v>
      </c>
      <c r="U19" s="274">
        <v>315</v>
      </c>
      <c r="V19" s="247">
        <f t="shared" si="2"/>
        <v>215460</v>
      </c>
      <c r="W19" s="634"/>
      <c r="X19" s="541"/>
      <c r="Y19" s="541"/>
      <c r="Z19" s="599"/>
      <c r="AA19" s="599"/>
      <c r="AB19" s="599"/>
      <c r="AC19" s="276">
        <v>24</v>
      </c>
      <c r="AD19" s="74">
        <v>12</v>
      </c>
    </row>
    <row r="20" spans="1:30" ht="15" customHeight="1">
      <c r="A20" s="632" t="s">
        <v>104</v>
      </c>
      <c r="B20" s="211" t="s">
        <v>96</v>
      </c>
      <c r="C20" s="211">
        <v>316</v>
      </c>
      <c r="D20" s="195">
        <v>1.3</v>
      </c>
      <c r="E20" s="249">
        <v>315</v>
      </c>
      <c r="F20" s="247">
        <f t="shared" si="1"/>
        <v>129402</v>
      </c>
      <c r="G20" s="640">
        <v>520</v>
      </c>
      <c r="H20" s="590">
        <v>1232</v>
      </c>
      <c r="I20" s="590">
        <v>600</v>
      </c>
      <c r="J20" s="590">
        <f>G20/H20*SUM(C20:C21)*I20</f>
        <v>160051.94805194804</v>
      </c>
      <c r="K20" s="582">
        <f>J20+SUM(F20:F21)</f>
        <v>428809.94805194804</v>
      </c>
      <c r="L20" s="582">
        <f>K20/SUM(C20:C21)</f>
        <v>678.4967532467532</v>
      </c>
      <c r="M20" s="211">
        <v>21</v>
      </c>
      <c r="N20" s="74">
        <v>11</v>
      </c>
      <c r="O20" s="264">
        <v>616</v>
      </c>
      <c r="P20">
        <f t="shared" si="0"/>
        <v>0</v>
      </c>
      <c r="Q20" s="637" t="s">
        <v>104</v>
      </c>
      <c r="R20" s="276" t="s">
        <v>96</v>
      </c>
      <c r="S20" s="276">
        <v>300</v>
      </c>
      <c r="T20" s="195">
        <v>1.3</v>
      </c>
      <c r="U20" s="274">
        <v>315</v>
      </c>
      <c r="V20" s="247">
        <f t="shared" si="2"/>
        <v>122850</v>
      </c>
      <c r="W20" s="633">
        <v>520</v>
      </c>
      <c r="X20" s="540">
        <v>1232</v>
      </c>
      <c r="Y20" s="540">
        <v>600</v>
      </c>
      <c r="Z20" s="598">
        <f>W20/X20*SUM(S20:S21)*Y20</f>
        <v>151948.05194805193</v>
      </c>
      <c r="AA20" s="598">
        <f>Z20+SUM(V20:V21)</f>
        <v>407098.0519480519</v>
      </c>
      <c r="AB20" s="598">
        <f>AA20/SUM(S20:S21)</f>
        <v>678.4967532467532</v>
      </c>
      <c r="AC20" s="276">
        <v>21</v>
      </c>
      <c r="AD20" s="74">
        <v>10</v>
      </c>
    </row>
    <row r="21" spans="1:30" ht="15.75">
      <c r="A21" s="632"/>
      <c r="B21" s="211" t="s">
        <v>95</v>
      </c>
      <c r="C21" s="211">
        <v>316</v>
      </c>
      <c r="D21" s="195">
        <v>1.4</v>
      </c>
      <c r="E21" s="249">
        <v>315</v>
      </c>
      <c r="F21" s="247">
        <f t="shared" si="1"/>
        <v>139356</v>
      </c>
      <c r="G21" s="640"/>
      <c r="H21" s="590"/>
      <c r="I21" s="590"/>
      <c r="J21" s="590"/>
      <c r="K21" s="582"/>
      <c r="L21" s="582"/>
      <c r="M21" s="211">
        <v>20</v>
      </c>
      <c r="N21" s="74">
        <v>10</v>
      </c>
      <c r="O21" s="264">
        <v>616</v>
      </c>
      <c r="P21">
        <f t="shared" si="0"/>
        <v>0</v>
      </c>
      <c r="Q21" s="639"/>
      <c r="R21" s="276" t="s">
        <v>95</v>
      </c>
      <c r="S21" s="276">
        <v>300</v>
      </c>
      <c r="T21" s="195">
        <v>1.4</v>
      </c>
      <c r="U21" s="274">
        <v>315</v>
      </c>
      <c r="V21" s="247">
        <f t="shared" si="2"/>
        <v>132300</v>
      </c>
      <c r="W21" s="634"/>
      <c r="X21" s="541"/>
      <c r="Y21" s="541"/>
      <c r="Z21" s="599"/>
      <c r="AA21" s="599"/>
      <c r="AB21" s="599"/>
      <c r="AC21" s="276">
        <v>20</v>
      </c>
      <c r="AD21" s="74">
        <v>10</v>
      </c>
    </row>
    <row r="22" spans="1:30" ht="15" customHeight="1">
      <c r="A22" s="632" t="s">
        <v>105</v>
      </c>
      <c r="B22" s="211" t="s">
        <v>94</v>
      </c>
      <c r="C22" s="211">
        <v>0</v>
      </c>
      <c r="D22" s="195">
        <v>1</v>
      </c>
      <c r="E22" s="249">
        <v>315</v>
      </c>
      <c r="F22" s="247">
        <f t="shared" si="1"/>
        <v>0</v>
      </c>
      <c r="G22" s="640">
        <v>901</v>
      </c>
      <c r="H22" s="590">
        <v>2716</v>
      </c>
      <c r="I22" s="590">
        <v>600</v>
      </c>
      <c r="J22" s="590">
        <f>G22/H22*SUM(C22:C24)*I22</f>
        <v>65684.094256259195</v>
      </c>
      <c r="K22" s="582">
        <f>J22+SUM(F22:F24)</f>
        <v>169634.09425625921</v>
      </c>
      <c r="L22" s="582">
        <v>0</v>
      </c>
      <c r="M22" s="211">
        <v>35</v>
      </c>
      <c r="N22" s="74">
        <v>18</v>
      </c>
      <c r="O22" s="264">
        <v>1059</v>
      </c>
      <c r="P22">
        <f t="shared" si="0"/>
        <v>-1059</v>
      </c>
      <c r="Q22" s="637" t="s">
        <v>105</v>
      </c>
      <c r="R22" s="276" t="s">
        <v>94</v>
      </c>
      <c r="S22" s="276">
        <v>0</v>
      </c>
      <c r="T22" s="195">
        <v>1</v>
      </c>
      <c r="U22" s="274">
        <v>315</v>
      </c>
      <c r="V22" s="247">
        <f t="shared" si="2"/>
        <v>0</v>
      </c>
      <c r="W22" s="633">
        <v>901</v>
      </c>
      <c r="X22" s="540">
        <v>2716</v>
      </c>
      <c r="Y22" s="540">
        <v>600</v>
      </c>
      <c r="Z22" s="598">
        <f>W22/X22*SUM(S22:S24)*Y22</f>
        <v>63295.581737849774</v>
      </c>
      <c r="AA22" s="598">
        <f>Z22+SUM(V22:V24)</f>
        <v>163465.58173784977</v>
      </c>
      <c r="AB22" s="598">
        <v>0</v>
      </c>
      <c r="AC22" s="276">
        <v>35</v>
      </c>
      <c r="AD22" s="74">
        <v>17</v>
      </c>
    </row>
    <row r="23" spans="1:30" ht="15.75">
      <c r="A23" s="632"/>
      <c r="B23" s="211" t="s">
        <v>270</v>
      </c>
      <c r="C23" s="211">
        <v>0</v>
      </c>
      <c r="D23" s="195">
        <v>1</v>
      </c>
      <c r="E23" s="249">
        <v>315</v>
      </c>
      <c r="F23" s="247">
        <f t="shared" si="1"/>
        <v>0</v>
      </c>
      <c r="G23" s="640"/>
      <c r="H23" s="590"/>
      <c r="I23" s="590"/>
      <c r="J23" s="590"/>
      <c r="K23" s="582"/>
      <c r="L23" s="582"/>
      <c r="M23" s="211">
        <v>34</v>
      </c>
      <c r="N23" s="74">
        <v>17</v>
      </c>
      <c r="O23" s="264">
        <v>1009</v>
      </c>
      <c r="P23">
        <f t="shared" si="0"/>
        <v>-1009</v>
      </c>
      <c r="Q23" s="638"/>
      <c r="R23" s="276" t="s">
        <v>270</v>
      </c>
      <c r="S23" s="276">
        <v>0</v>
      </c>
      <c r="T23" s="195">
        <v>1</v>
      </c>
      <c r="U23" s="274">
        <v>315</v>
      </c>
      <c r="V23" s="247">
        <f t="shared" si="2"/>
        <v>0</v>
      </c>
      <c r="W23" s="635"/>
      <c r="X23" s="549"/>
      <c r="Y23" s="549"/>
      <c r="Z23" s="601"/>
      <c r="AA23" s="601"/>
      <c r="AB23" s="601"/>
      <c r="AC23" s="276">
        <v>34</v>
      </c>
      <c r="AD23" s="74">
        <v>17</v>
      </c>
    </row>
    <row r="24" spans="1:30" ht="15.75">
      <c r="A24" s="632"/>
      <c r="B24" s="211" t="s">
        <v>96</v>
      </c>
      <c r="C24" s="211">
        <v>330</v>
      </c>
      <c r="D24" s="195">
        <v>1</v>
      </c>
      <c r="E24" s="249">
        <v>315</v>
      </c>
      <c r="F24" s="247">
        <f t="shared" si="1"/>
        <v>103950</v>
      </c>
      <c r="G24" s="640"/>
      <c r="H24" s="590"/>
      <c r="I24" s="590"/>
      <c r="J24" s="590"/>
      <c r="K24" s="582"/>
      <c r="L24" s="582"/>
      <c r="M24" s="211">
        <v>22</v>
      </c>
      <c r="N24" s="74">
        <v>11</v>
      </c>
      <c r="O24" s="264">
        <v>648</v>
      </c>
      <c r="P24">
        <f t="shared" si="0"/>
        <v>0</v>
      </c>
      <c r="Q24" s="639"/>
      <c r="R24" s="276" t="s">
        <v>96</v>
      </c>
      <c r="S24" s="276">
        <v>318</v>
      </c>
      <c r="T24" s="195">
        <v>1</v>
      </c>
      <c r="U24" s="274">
        <v>315</v>
      </c>
      <c r="V24" s="247">
        <f t="shared" si="2"/>
        <v>100170</v>
      </c>
      <c r="W24" s="634"/>
      <c r="X24" s="541"/>
      <c r="Y24" s="541"/>
      <c r="Z24" s="599"/>
      <c r="AA24" s="599"/>
      <c r="AB24" s="599"/>
      <c r="AC24" s="276">
        <v>22</v>
      </c>
      <c r="AD24" s="74">
        <v>11</v>
      </c>
    </row>
    <row r="25" spans="1:30" ht="15" customHeight="1">
      <c r="A25" s="632" t="s">
        <v>287</v>
      </c>
      <c r="B25" s="211" t="s">
        <v>101</v>
      </c>
      <c r="C25" s="211">
        <v>495</v>
      </c>
      <c r="D25" s="195">
        <v>1.9</v>
      </c>
      <c r="E25" s="249">
        <v>315</v>
      </c>
      <c r="F25" s="247">
        <f t="shared" si="1"/>
        <v>296257.5</v>
      </c>
      <c r="G25" s="640">
        <v>2033</v>
      </c>
      <c r="H25" s="590">
        <v>5643</v>
      </c>
      <c r="I25" s="590">
        <v>600</v>
      </c>
      <c r="J25" s="590">
        <f>G25/H25*SUM(C25:C32)*I25</f>
        <v>623410.10101010103</v>
      </c>
      <c r="K25" s="582">
        <f>J25+SUM(F25:F32)</f>
        <v>2349484.1010101009</v>
      </c>
      <c r="L25" s="582">
        <f>K25/SUM(C25:C32)</f>
        <v>814.66161616161617</v>
      </c>
      <c r="M25" s="211">
        <v>33</v>
      </c>
      <c r="N25" s="74">
        <v>17</v>
      </c>
      <c r="O25" s="264">
        <v>975</v>
      </c>
      <c r="P25">
        <f t="shared" si="0"/>
        <v>0</v>
      </c>
      <c r="Q25" s="637" t="s">
        <v>287</v>
      </c>
      <c r="R25" s="276" t="s">
        <v>101</v>
      </c>
      <c r="S25" s="276">
        <v>480</v>
      </c>
      <c r="T25" s="195">
        <v>1.9</v>
      </c>
      <c r="U25" s="274">
        <v>315</v>
      </c>
      <c r="V25" s="247">
        <f t="shared" si="2"/>
        <v>287280</v>
      </c>
      <c r="W25" s="633">
        <v>2033</v>
      </c>
      <c r="X25" s="540">
        <v>5643</v>
      </c>
      <c r="Y25" s="540">
        <v>600</v>
      </c>
      <c r="Z25" s="598">
        <f>W25/X25*SUM(S25:S32)*Y25</f>
        <v>596389.89898989897</v>
      </c>
      <c r="AA25" s="598">
        <f>Z25+SUM(V25:V32)</f>
        <v>2247651.3989898991</v>
      </c>
      <c r="AB25" s="598">
        <f>AA25/SUM(S25:S32)</f>
        <v>814.66161616161617</v>
      </c>
      <c r="AC25" s="276">
        <v>33</v>
      </c>
      <c r="AD25" s="74">
        <v>16</v>
      </c>
    </row>
    <row r="26" spans="1:30" ht="15.75">
      <c r="A26" s="632"/>
      <c r="B26" s="211" t="s">
        <v>244</v>
      </c>
      <c r="C26" s="211">
        <v>361</v>
      </c>
      <c r="D26" s="195">
        <v>1.9</v>
      </c>
      <c r="E26" s="249">
        <v>315</v>
      </c>
      <c r="F26" s="247">
        <f t="shared" si="1"/>
        <v>216058.5</v>
      </c>
      <c r="G26" s="640"/>
      <c r="H26" s="590"/>
      <c r="I26" s="590"/>
      <c r="J26" s="590"/>
      <c r="K26" s="582"/>
      <c r="L26" s="582"/>
      <c r="M26" s="211">
        <v>23</v>
      </c>
      <c r="N26" s="74">
        <v>12</v>
      </c>
      <c r="O26" s="264">
        <v>691</v>
      </c>
      <c r="P26">
        <f t="shared" si="0"/>
        <v>0</v>
      </c>
      <c r="Q26" s="638"/>
      <c r="R26" s="276" t="s">
        <v>244</v>
      </c>
      <c r="S26" s="276">
        <v>330</v>
      </c>
      <c r="T26" s="195">
        <v>1.9</v>
      </c>
      <c r="U26" s="274">
        <v>315</v>
      </c>
      <c r="V26" s="247">
        <f t="shared" si="2"/>
        <v>197505</v>
      </c>
      <c r="W26" s="635"/>
      <c r="X26" s="549"/>
      <c r="Y26" s="549"/>
      <c r="Z26" s="601"/>
      <c r="AA26" s="601"/>
      <c r="AB26" s="601"/>
      <c r="AC26" s="276">
        <v>23</v>
      </c>
      <c r="AD26" s="74">
        <v>11</v>
      </c>
    </row>
    <row r="27" spans="1:30" ht="15" customHeight="1">
      <c r="A27" s="632"/>
      <c r="B27" s="211" t="s">
        <v>100</v>
      </c>
      <c r="C27" s="211">
        <v>396</v>
      </c>
      <c r="D27" s="195">
        <v>1.9</v>
      </c>
      <c r="E27" s="249">
        <v>315</v>
      </c>
      <c r="F27" s="247">
        <f t="shared" si="1"/>
        <v>237006</v>
      </c>
      <c r="G27" s="640"/>
      <c r="H27" s="590"/>
      <c r="I27" s="590"/>
      <c r="J27" s="590"/>
      <c r="K27" s="582"/>
      <c r="L27" s="582"/>
      <c r="M27" s="211">
        <v>24</v>
      </c>
      <c r="N27" s="74">
        <v>12</v>
      </c>
      <c r="O27" s="264">
        <v>758</v>
      </c>
      <c r="P27">
        <f t="shared" si="0"/>
        <v>0</v>
      </c>
      <c r="Q27" s="638"/>
      <c r="R27" s="276" t="s">
        <v>100</v>
      </c>
      <c r="S27" s="276">
        <v>362</v>
      </c>
      <c r="T27" s="195">
        <v>1.9</v>
      </c>
      <c r="U27" s="274">
        <v>315</v>
      </c>
      <c r="V27" s="247">
        <f t="shared" si="2"/>
        <v>216657</v>
      </c>
      <c r="W27" s="635"/>
      <c r="X27" s="549"/>
      <c r="Y27" s="549"/>
      <c r="Z27" s="601"/>
      <c r="AA27" s="601"/>
      <c r="AB27" s="601"/>
      <c r="AC27" s="276">
        <v>24</v>
      </c>
      <c r="AD27" s="74">
        <v>12</v>
      </c>
    </row>
    <row r="28" spans="1:30" ht="15.75">
      <c r="A28" s="632"/>
      <c r="B28" s="211" t="s">
        <v>110</v>
      </c>
      <c r="C28" s="211">
        <v>300</v>
      </c>
      <c r="D28" s="195">
        <v>1.9</v>
      </c>
      <c r="E28" s="249">
        <v>315</v>
      </c>
      <c r="F28" s="247">
        <f t="shared" si="1"/>
        <v>179550</v>
      </c>
      <c r="G28" s="640"/>
      <c r="H28" s="590"/>
      <c r="I28" s="590"/>
      <c r="J28" s="590"/>
      <c r="K28" s="582"/>
      <c r="L28" s="582"/>
      <c r="M28" s="211">
        <v>20</v>
      </c>
      <c r="N28" s="74">
        <v>10</v>
      </c>
      <c r="O28" s="264">
        <v>600</v>
      </c>
      <c r="P28">
        <f t="shared" si="0"/>
        <v>0</v>
      </c>
      <c r="Q28" s="638"/>
      <c r="R28" s="276" t="s">
        <v>110</v>
      </c>
      <c r="S28" s="276">
        <v>300</v>
      </c>
      <c r="T28" s="195">
        <v>1.9</v>
      </c>
      <c r="U28" s="274">
        <v>315</v>
      </c>
      <c r="V28" s="247">
        <f t="shared" si="2"/>
        <v>179550</v>
      </c>
      <c r="W28" s="635"/>
      <c r="X28" s="549"/>
      <c r="Y28" s="549"/>
      <c r="Z28" s="601"/>
      <c r="AA28" s="601"/>
      <c r="AB28" s="601"/>
      <c r="AC28" s="276">
        <v>20</v>
      </c>
      <c r="AD28" s="74">
        <v>10</v>
      </c>
    </row>
    <row r="29" spans="1:30" ht="15.75">
      <c r="A29" s="632"/>
      <c r="B29" s="211" t="s">
        <v>98</v>
      </c>
      <c r="C29" s="211">
        <v>340</v>
      </c>
      <c r="D29" s="195">
        <v>1.9</v>
      </c>
      <c r="E29" s="249">
        <v>315</v>
      </c>
      <c r="F29" s="247">
        <f t="shared" si="1"/>
        <v>203490</v>
      </c>
      <c r="G29" s="640"/>
      <c r="H29" s="590"/>
      <c r="I29" s="590"/>
      <c r="J29" s="590"/>
      <c r="K29" s="582"/>
      <c r="L29" s="582"/>
      <c r="M29" s="211">
        <v>22</v>
      </c>
      <c r="N29" s="74">
        <v>11</v>
      </c>
      <c r="O29" s="264">
        <v>667</v>
      </c>
      <c r="P29">
        <f t="shared" si="0"/>
        <v>0</v>
      </c>
      <c r="Q29" s="638"/>
      <c r="R29" s="276" t="s">
        <v>98</v>
      </c>
      <c r="S29" s="276">
        <v>327</v>
      </c>
      <c r="T29" s="195">
        <v>1.9</v>
      </c>
      <c r="U29" s="274">
        <v>315</v>
      </c>
      <c r="V29" s="247">
        <f t="shared" si="2"/>
        <v>195709.5</v>
      </c>
      <c r="W29" s="635"/>
      <c r="X29" s="549"/>
      <c r="Y29" s="549"/>
      <c r="Z29" s="601"/>
      <c r="AA29" s="601"/>
      <c r="AB29" s="601"/>
      <c r="AC29" s="276">
        <v>22</v>
      </c>
      <c r="AD29" s="74">
        <v>11</v>
      </c>
    </row>
    <row r="30" spans="1:30" ht="15.75">
      <c r="A30" s="632"/>
      <c r="B30" s="211" t="s">
        <v>290</v>
      </c>
      <c r="C30" s="211">
        <v>364</v>
      </c>
      <c r="D30" s="195">
        <v>1.9</v>
      </c>
      <c r="E30" s="249">
        <v>315</v>
      </c>
      <c r="F30" s="247">
        <f t="shared" si="1"/>
        <v>217854</v>
      </c>
      <c r="G30" s="640"/>
      <c r="H30" s="590"/>
      <c r="I30" s="590"/>
      <c r="J30" s="590"/>
      <c r="K30" s="582"/>
      <c r="L30" s="582"/>
      <c r="M30" s="211">
        <v>24</v>
      </c>
      <c r="N30" s="74">
        <v>12</v>
      </c>
      <c r="O30" s="264">
        <v>724</v>
      </c>
      <c r="P30">
        <f t="shared" si="0"/>
        <v>0</v>
      </c>
      <c r="Q30" s="638"/>
      <c r="R30" s="276" t="s">
        <v>290</v>
      </c>
      <c r="S30" s="276">
        <v>360</v>
      </c>
      <c r="T30" s="195">
        <v>1.9</v>
      </c>
      <c r="U30" s="274">
        <v>315</v>
      </c>
      <c r="V30" s="247">
        <f t="shared" si="2"/>
        <v>215460</v>
      </c>
      <c r="W30" s="635"/>
      <c r="X30" s="549"/>
      <c r="Y30" s="549"/>
      <c r="Z30" s="601"/>
      <c r="AA30" s="601"/>
      <c r="AB30" s="601"/>
      <c r="AC30" s="276">
        <v>24</v>
      </c>
      <c r="AD30" s="74">
        <v>12</v>
      </c>
    </row>
    <row r="31" spans="1:30" ht="15.75">
      <c r="A31" s="632"/>
      <c r="B31" s="211" t="s">
        <v>97</v>
      </c>
      <c r="C31" s="211">
        <v>278</v>
      </c>
      <c r="D31" s="195">
        <v>1.9</v>
      </c>
      <c r="E31" s="249">
        <v>315</v>
      </c>
      <c r="F31" s="247">
        <f t="shared" si="1"/>
        <v>166382.99999999997</v>
      </c>
      <c r="G31" s="640"/>
      <c r="H31" s="590"/>
      <c r="I31" s="590"/>
      <c r="J31" s="590"/>
      <c r="K31" s="582"/>
      <c r="L31" s="582"/>
      <c r="M31" s="211">
        <v>18</v>
      </c>
      <c r="N31" s="74">
        <v>9</v>
      </c>
      <c r="O31" s="264">
        <v>548</v>
      </c>
      <c r="P31">
        <f t="shared" si="0"/>
        <v>0</v>
      </c>
      <c r="Q31" s="638"/>
      <c r="R31" s="276" t="s">
        <v>97</v>
      </c>
      <c r="S31" s="276">
        <v>270</v>
      </c>
      <c r="T31" s="195">
        <v>1.9</v>
      </c>
      <c r="U31" s="274">
        <v>315</v>
      </c>
      <c r="V31" s="247">
        <f t="shared" si="2"/>
        <v>161595</v>
      </c>
      <c r="W31" s="635"/>
      <c r="X31" s="549"/>
      <c r="Y31" s="549"/>
      <c r="Z31" s="601"/>
      <c r="AA31" s="601"/>
      <c r="AB31" s="601"/>
      <c r="AC31" s="276">
        <v>18</v>
      </c>
      <c r="AD31" s="74">
        <v>9</v>
      </c>
    </row>
    <row r="32" spans="1:30" ht="15.75">
      <c r="A32" s="632"/>
      <c r="B32" s="211" t="s">
        <v>95</v>
      </c>
      <c r="C32" s="211">
        <v>350</v>
      </c>
      <c r="D32" s="195">
        <v>1.9</v>
      </c>
      <c r="E32" s="249">
        <v>315</v>
      </c>
      <c r="F32" s="247">
        <f t="shared" si="1"/>
        <v>209475</v>
      </c>
      <c r="G32" s="640"/>
      <c r="H32" s="590"/>
      <c r="I32" s="590"/>
      <c r="J32" s="590"/>
      <c r="K32" s="582"/>
      <c r="L32" s="582"/>
      <c r="M32" s="211">
        <v>23</v>
      </c>
      <c r="N32" s="74">
        <v>12</v>
      </c>
      <c r="O32" s="264">
        <v>680</v>
      </c>
      <c r="P32">
        <f t="shared" si="0"/>
        <v>0</v>
      </c>
      <c r="Q32" s="639"/>
      <c r="R32" s="276" t="s">
        <v>95</v>
      </c>
      <c r="S32" s="276">
        <v>330</v>
      </c>
      <c r="T32" s="195">
        <v>1.9</v>
      </c>
      <c r="U32" s="274">
        <v>315</v>
      </c>
      <c r="V32" s="247">
        <f t="shared" si="2"/>
        <v>197505</v>
      </c>
      <c r="W32" s="634"/>
      <c r="X32" s="541"/>
      <c r="Y32" s="541"/>
      <c r="Z32" s="599"/>
      <c r="AA32" s="599"/>
      <c r="AB32" s="599"/>
      <c r="AC32" s="276">
        <v>23</v>
      </c>
      <c r="AD32" s="74">
        <v>11</v>
      </c>
    </row>
    <row r="33" spans="1:30" ht="15.75">
      <c r="A33" s="245">
        <v>255</v>
      </c>
      <c r="B33" s="211" t="s">
        <v>150</v>
      </c>
      <c r="C33" s="211">
        <v>0</v>
      </c>
      <c r="D33" s="195">
        <v>1.3</v>
      </c>
      <c r="E33" s="249">
        <v>315</v>
      </c>
      <c r="F33" s="247">
        <f t="shared" si="1"/>
        <v>0</v>
      </c>
      <c r="G33" s="62">
        <v>620</v>
      </c>
      <c r="H33" s="244">
        <v>1476</v>
      </c>
      <c r="I33" s="98">
        <v>600</v>
      </c>
      <c r="J33" s="98">
        <f>G33/H33*SUM(C33:C33)*I33</f>
        <v>0</v>
      </c>
      <c r="K33" s="97">
        <f>J33+F33</f>
        <v>0</v>
      </c>
      <c r="L33" s="243">
        <v>0</v>
      </c>
      <c r="M33" s="211">
        <v>49</v>
      </c>
      <c r="N33" s="74">
        <v>0</v>
      </c>
      <c r="O33" s="264">
        <v>1476</v>
      </c>
      <c r="P33">
        <f t="shared" si="0"/>
        <v>-180</v>
      </c>
      <c r="Q33" s="275">
        <v>255</v>
      </c>
      <c r="R33" s="276" t="s">
        <v>150</v>
      </c>
      <c r="S33" s="276">
        <v>1296</v>
      </c>
      <c r="T33" s="195">
        <v>1.3</v>
      </c>
      <c r="U33" s="274">
        <v>315</v>
      </c>
      <c r="V33" s="247">
        <f t="shared" si="2"/>
        <v>530712</v>
      </c>
      <c r="W33" s="62">
        <v>620</v>
      </c>
      <c r="X33" s="274">
        <v>1476</v>
      </c>
      <c r="Y33" s="98">
        <v>600</v>
      </c>
      <c r="Z33" s="97">
        <f>W33/X33*SUM(S33:S33)*Y33</f>
        <v>326634.14634146343</v>
      </c>
      <c r="AA33" s="97">
        <f>Z33+V33</f>
        <v>857346.14634146343</v>
      </c>
      <c r="AB33" s="273">
        <f>AA33/S33</f>
        <v>661.53252032520322</v>
      </c>
      <c r="AC33" s="276">
        <v>49</v>
      </c>
      <c r="AD33" s="74">
        <v>43</v>
      </c>
    </row>
    <row r="34" spans="1:30" ht="15.75">
      <c r="A34" s="245" t="s">
        <v>191</v>
      </c>
      <c r="B34" s="211" t="s">
        <v>98</v>
      </c>
      <c r="C34" s="211">
        <v>534</v>
      </c>
      <c r="D34" s="195">
        <v>1.1499999999999999</v>
      </c>
      <c r="E34" s="249">
        <v>315</v>
      </c>
      <c r="F34" s="247">
        <f t="shared" si="1"/>
        <v>193441.49999999997</v>
      </c>
      <c r="G34" s="62">
        <v>396</v>
      </c>
      <c r="H34" s="244">
        <v>1074</v>
      </c>
      <c r="I34" s="98">
        <v>600</v>
      </c>
      <c r="J34" s="98">
        <f>G34/H34*SUM(C34:C34)*I34</f>
        <v>118136.31284916202</v>
      </c>
      <c r="K34" s="97">
        <f>J34+F34</f>
        <v>311577.81284916197</v>
      </c>
      <c r="L34" s="243">
        <f>K34/C34</f>
        <v>583.4790502793295</v>
      </c>
      <c r="M34" s="211">
        <v>36</v>
      </c>
      <c r="N34" s="74">
        <v>18</v>
      </c>
      <c r="O34" s="264">
        <v>1074</v>
      </c>
      <c r="P34">
        <f t="shared" si="0"/>
        <v>0</v>
      </c>
      <c r="Q34" s="275" t="s">
        <v>191</v>
      </c>
      <c r="R34" s="276" t="s">
        <v>98</v>
      </c>
      <c r="S34" s="276">
        <v>540</v>
      </c>
      <c r="T34" s="195">
        <v>1.1499999999999999</v>
      </c>
      <c r="U34" s="274">
        <v>315</v>
      </c>
      <c r="V34" s="247">
        <f t="shared" si="2"/>
        <v>195615</v>
      </c>
      <c r="W34" s="62">
        <v>396</v>
      </c>
      <c r="X34" s="274">
        <v>1074</v>
      </c>
      <c r="Y34" s="98">
        <v>600</v>
      </c>
      <c r="Z34" s="97">
        <f>W34/X34*SUM(S34:S34)*Y34</f>
        <v>119463.68715083798</v>
      </c>
      <c r="AA34" s="97">
        <f>Z34+V34</f>
        <v>315078.68715083797</v>
      </c>
      <c r="AB34" s="273">
        <f>AA34/S34</f>
        <v>583.47905027932961</v>
      </c>
      <c r="AC34" s="276">
        <v>36</v>
      </c>
      <c r="AD34" s="74">
        <v>18</v>
      </c>
    </row>
    <row r="35" spans="1:30" ht="15.75" customHeight="1">
      <c r="A35" s="632" t="s">
        <v>288</v>
      </c>
      <c r="B35" s="211" t="s">
        <v>272</v>
      </c>
      <c r="C35" s="211">
        <v>241</v>
      </c>
      <c r="D35" s="195">
        <v>1.82</v>
      </c>
      <c r="E35" s="249">
        <v>315</v>
      </c>
      <c r="F35" s="247">
        <f t="shared" si="1"/>
        <v>138165.29999999999</v>
      </c>
      <c r="G35" s="582">
        <v>980</v>
      </c>
      <c r="H35" s="590">
        <v>1364</v>
      </c>
      <c r="I35" s="590">
        <v>600</v>
      </c>
      <c r="J35" s="590">
        <f>G35/H35*SUM(C35:C37)*I35</f>
        <v>200023.46041055719</v>
      </c>
      <c r="K35" s="582">
        <f>J35+SUM(F35:F37)</f>
        <v>468869.66041055718</v>
      </c>
      <c r="L35" s="582">
        <f>K35/SUM(C35:C37)</f>
        <v>1010.4949577813733</v>
      </c>
      <c r="M35" s="211">
        <v>24</v>
      </c>
      <c r="N35" s="74">
        <v>8</v>
      </c>
      <c r="O35" s="264">
        <v>721</v>
      </c>
      <c r="P35">
        <f t="shared" ref="P35:P66" si="3">S35+C35-O35</f>
        <v>0</v>
      </c>
      <c r="Q35" s="637" t="s">
        <v>288</v>
      </c>
      <c r="R35" s="276" t="s">
        <v>272</v>
      </c>
      <c r="S35" s="276">
        <v>480</v>
      </c>
      <c r="T35" s="195">
        <v>1.82</v>
      </c>
      <c r="U35" s="274">
        <v>315</v>
      </c>
      <c r="V35" s="247">
        <f t="shared" si="2"/>
        <v>275184</v>
      </c>
      <c r="W35" s="598">
        <v>980</v>
      </c>
      <c r="X35" s="540">
        <v>1364</v>
      </c>
      <c r="Y35" s="540">
        <v>600</v>
      </c>
      <c r="Z35" s="598">
        <f>W35/X35*SUM(S35:S37)*Y35</f>
        <v>387976.53958944284</v>
      </c>
      <c r="AA35" s="598">
        <f>Z35+SUM(V35:V37)</f>
        <v>907726.53958944278</v>
      </c>
      <c r="AB35" s="598">
        <f>AA35/SUM(S35:S37)</f>
        <v>1008.5850439882697</v>
      </c>
      <c r="AC35" s="276">
        <v>24</v>
      </c>
      <c r="AD35" s="74">
        <v>16</v>
      </c>
    </row>
    <row r="36" spans="1:30" ht="15" customHeight="1">
      <c r="A36" s="632"/>
      <c r="B36" s="211" t="s">
        <v>95</v>
      </c>
      <c r="C36" s="211">
        <v>90</v>
      </c>
      <c r="D36" s="195">
        <v>1.92</v>
      </c>
      <c r="E36" s="249">
        <v>315</v>
      </c>
      <c r="F36" s="247">
        <f t="shared" si="1"/>
        <v>54431.999999999993</v>
      </c>
      <c r="G36" s="582"/>
      <c r="H36" s="590"/>
      <c r="I36" s="590"/>
      <c r="J36" s="590"/>
      <c r="K36" s="582"/>
      <c r="L36" s="582"/>
      <c r="M36" s="211">
        <v>7</v>
      </c>
      <c r="N36" s="74">
        <v>3</v>
      </c>
      <c r="O36" s="264">
        <v>210</v>
      </c>
      <c r="P36">
        <f t="shared" si="3"/>
        <v>0</v>
      </c>
      <c r="Q36" s="638"/>
      <c r="R36" s="276" t="s">
        <v>95</v>
      </c>
      <c r="S36" s="276">
        <v>120</v>
      </c>
      <c r="T36" s="195">
        <v>1.92</v>
      </c>
      <c r="U36" s="274">
        <v>315</v>
      </c>
      <c r="V36" s="247">
        <f t="shared" si="2"/>
        <v>72576</v>
      </c>
      <c r="W36" s="601"/>
      <c r="X36" s="549"/>
      <c r="Y36" s="549"/>
      <c r="Z36" s="601"/>
      <c r="AA36" s="601"/>
      <c r="AB36" s="601"/>
      <c r="AC36" s="276">
        <v>7</v>
      </c>
      <c r="AD36" s="74">
        <v>4</v>
      </c>
    </row>
    <row r="37" spans="1:30" ht="15" customHeight="1">
      <c r="A37" s="632"/>
      <c r="B37" s="211" t="s">
        <v>96</v>
      </c>
      <c r="C37" s="211">
        <v>133</v>
      </c>
      <c r="D37" s="195">
        <v>1.82</v>
      </c>
      <c r="E37" s="249">
        <v>315</v>
      </c>
      <c r="F37" s="247">
        <f t="shared" si="1"/>
        <v>76248.899999999994</v>
      </c>
      <c r="G37" s="582"/>
      <c r="H37" s="590"/>
      <c r="I37" s="590"/>
      <c r="J37" s="590"/>
      <c r="K37" s="582"/>
      <c r="L37" s="582"/>
      <c r="M37" s="211">
        <v>15</v>
      </c>
      <c r="N37" s="74">
        <v>5</v>
      </c>
      <c r="O37" s="264">
        <v>433</v>
      </c>
      <c r="P37">
        <f t="shared" si="3"/>
        <v>0</v>
      </c>
      <c r="Q37" s="639"/>
      <c r="R37" s="276" t="s">
        <v>96</v>
      </c>
      <c r="S37" s="276">
        <v>300</v>
      </c>
      <c r="T37" s="195">
        <v>1.82</v>
      </c>
      <c r="U37" s="274">
        <v>315</v>
      </c>
      <c r="V37" s="247">
        <f t="shared" si="2"/>
        <v>171990</v>
      </c>
      <c r="W37" s="599"/>
      <c r="X37" s="541"/>
      <c r="Y37" s="541"/>
      <c r="Z37" s="599"/>
      <c r="AA37" s="599"/>
      <c r="AB37" s="599"/>
      <c r="AC37" s="276">
        <v>15</v>
      </c>
      <c r="AD37" s="74">
        <v>10</v>
      </c>
    </row>
    <row r="38" spans="1:30" ht="15" customHeight="1">
      <c r="A38" s="632" t="s">
        <v>143</v>
      </c>
      <c r="B38" s="211" t="s">
        <v>272</v>
      </c>
      <c r="C38" s="211">
        <v>512</v>
      </c>
      <c r="D38" s="195">
        <v>1.48</v>
      </c>
      <c r="E38" s="249">
        <v>315</v>
      </c>
      <c r="F38" s="247">
        <f t="shared" si="1"/>
        <v>238694.39999999999</v>
      </c>
      <c r="G38" s="590">
        <v>1262</v>
      </c>
      <c r="H38" s="590">
        <v>2242</v>
      </c>
      <c r="I38" s="590">
        <v>600</v>
      </c>
      <c r="J38" s="590">
        <f>G38/H38*SUM(C38:C41)*I38</f>
        <v>385692.41748438892</v>
      </c>
      <c r="K38" s="641">
        <f>J38+SUM(F38:F41)</f>
        <v>928771.31748438894</v>
      </c>
      <c r="L38" s="582">
        <f>K38/SUM(C38:C41)</f>
        <v>813.28486644867678</v>
      </c>
      <c r="M38" s="211">
        <v>34</v>
      </c>
      <c r="N38" s="74">
        <v>17</v>
      </c>
      <c r="O38" s="264">
        <v>1022</v>
      </c>
      <c r="P38">
        <f t="shared" si="3"/>
        <v>0</v>
      </c>
      <c r="Q38" s="637" t="s">
        <v>143</v>
      </c>
      <c r="R38" s="276" t="s">
        <v>272</v>
      </c>
      <c r="S38" s="276">
        <v>510</v>
      </c>
      <c r="T38" s="195">
        <v>1.48</v>
      </c>
      <c r="U38" s="274">
        <v>315</v>
      </c>
      <c r="V38" s="247">
        <f t="shared" si="2"/>
        <v>237762</v>
      </c>
      <c r="W38" s="540">
        <v>1262</v>
      </c>
      <c r="X38" s="540">
        <v>2242</v>
      </c>
      <c r="Y38" s="540">
        <v>600</v>
      </c>
      <c r="Z38" s="598">
        <f>W38/X38*SUM(S38:S41)*Y38</f>
        <v>371507.58251561108</v>
      </c>
      <c r="AA38" s="598">
        <f>Z38+SUM(V38:V41)</f>
        <v>893462.58251561108</v>
      </c>
      <c r="AB38" s="598">
        <f>AA38/SUM(S38:S41)</f>
        <v>812.23871137782828</v>
      </c>
      <c r="AC38" s="276">
        <v>34</v>
      </c>
      <c r="AD38" s="74">
        <v>17</v>
      </c>
    </row>
    <row r="39" spans="1:30" ht="15.75">
      <c r="A39" s="632"/>
      <c r="B39" s="211" t="s">
        <v>96</v>
      </c>
      <c r="C39" s="211">
        <v>291</v>
      </c>
      <c r="D39" s="195">
        <v>1.48</v>
      </c>
      <c r="E39" s="249">
        <v>315</v>
      </c>
      <c r="F39" s="247">
        <f t="shared" si="1"/>
        <v>135664.20000000001</v>
      </c>
      <c r="G39" s="590"/>
      <c r="H39" s="590"/>
      <c r="I39" s="590"/>
      <c r="J39" s="590"/>
      <c r="K39" s="590"/>
      <c r="L39" s="582"/>
      <c r="M39" s="211">
        <v>20</v>
      </c>
      <c r="N39" s="74">
        <v>10</v>
      </c>
      <c r="O39" s="264">
        <v>591</v>
      </c>
      <c r="P39">
        <f t="shared" si="3"/>
        <v>0</v>
      </c>
      <c r="Q39" s="638"/>
      <c r="R39" s="276" t="s">
        <v>96</v>
      </c>
      <c r="S39" s="276">
        <v>300</v>
      </c>
      <c r="T39" s="195">
        <v>1.48</v>
      </c>
      <c r="U39" s="274">
        <v>315</v>
      </c>
      <c r="V39" s="247">
        <f t="shared" si="2"/>
        <v>139860</v>
      </c>
      <c r="W39" s="549"/>
      <c r="X39" s="549"/>
      <c r="Y39" s="549"/>
      <c r="Z39" s="601"/>
      <c r="AA39" s="601"/>
      <c r="AB39" s="601"/>
      <c r="AC39" s="276">
        <v>20</v>
      </c>
      <c r="AD39" s="74">
        <v>10</v>
      </c>
    </row>
    <row r="40" spans="1:30" ht="15" customHeight="1">
      <c r="A40" s="632"/>
      <c r="B40" s="211" t="s">
        <v>95</v>
      </c>
      <c r="C40" s="211">
        <v>219</v>
      </c>
      <c r="D40" s="195">
        <v>1.58</v>
      </c>
      <c r="E40" s="249">
        <v>315</v>
      </c>
      <c r="F40" s="247">
        <f t="shared" si="1"/>
        <v>108996.30000000002</v>
      </c>
      <c r="G40" s="590"/>
      <c r="H40" s="590"/>
      <c r="I40" s="590"/>
      <c r="J40" s="590"/>
      <c r="K40" s="590"/>
      <c r="L40" s="582"/>
      <c r="M40" s="211">
        <v>13</v>
      </c>
      <c r="N40" s="74">
        <v>7</v>
      </c>
      <c r="O40" s="264">
        <v>399</v>
      </c>
      <c r="P40">
        <f t="shared" si="3"/>
        <v>0</v>
      </c>
      <c r="Q40" s="638"/>
      <c r="R40" s="276" t="s">
        <v>95</v>
      </c>
      <c r="S40" s="276">
        <v>180</v>
      </c>
      <c r="T40" s="195">
        <v>1.58</v>
      </c>
      <c r="U40" s="274">
        <v>315</v>
      </c>
      <c r="V40" s="247">
        <f t="shared" si="2"/>
        <v>89586.000000000015</v>
      </c>
      <c r="W40" s="549"/>
      <c r="X40" s="549"/>
      <c r="Y40" s="549"/>
      <c r="Z40" s="601"/>
      <c r="AA40" s="601"/>
      <c r="AB40" s="601"/>
      <c r="AC40" s="276">
        <v>13</v>
      </c>
      <c r="AD40" s="74">
        <v>6</v>
      </c>
    </row>
    <row r="41" spans="1:30" ht="15.75">
      <c r="A41" s="632"/>
      <c r="B41" s="211" t="s">
        <v>102</v>
      </c>
      <c r="C41" s="211">
        <v>120</v>
      </c>
      <c r="D41" s="195">
        <v>1.58</v>
      </c>
      <c r="E41" s="249">
        <v>315</v>
      </c>
      <c r="F41" s="247">
        <f t="shared" si="1"/>
        <v>59724.000000000007</v>
      </c>
      <c r="G41" s="590"/>
      <c r="H41" s="590"/>
      <c r="I41" s="590"/>
      <c r="J41" s="590"/>
      <c r="K41" s="590"/>
      <c r="L41" s="582"/>
      <c r="M41" s="211">
        <v>8</v>
      </c>
      <c r="N41" s="74">
        <v>4</v>
      </c>
      <c r="O41" s="264">
        <v>230</v>
      </c>
      <c r="P41">
        <f t="shared" si="3"/>
        <v>0</v>
      </c>
      <c r="Q41" s="639"/>
      <c r="R41" s="276" t="s">
        <v>102</v>
      </c>
      <c r="S41" s="276">
        <v>110</v>
      </c>
      <c r="T41" s="195">
        <v>1.58</v>
      </c>
      <c r="U41" s="274">
        <v>315</v>
      </c>
      <c r="V41" s="247">
        <f t="shared" si="2"/>
        <v>54747</v>
      </c>
      <c r="W41" s="541"/>
      <c r="X41" s="541"/>
      <c r="Y41" s="541"/>
      <c r="Z41" s="599"/>
      <c r="AA41" s="599"/>
      <c r="AB41" s="599"/>
      <c r="AC41" s="276">
        <v>8</v>
      </c>
      <c r="AD41" s="74">
        <v>4</v>
      </c>
    </row>
    <row r="42" spans="1:30" ht="15.75">
      <c r="A42" s="632">
        <v>192</v>
      </c>
      <c r="B42" s="211" t="s">
        <v>272</v>
      </c>
      <c r="C42" s="211">
        <v>513</v>
      </c>
      <c r="D42" s="195">
        <v>1.45</v>
      </c>
      <c r="E42" s="249">
        <v>315</v>
      </c>
      <c r="F42" s="247">
        <f t="shared" si="1"/>
        <v>234312.75</v>
      </c>
      <c r="G42" s="590">
        <v>2022</v>
      </c>
      <c r="H42" s="590">
        <v>4664</v>
      </c>
      <c r="I42" s="590">
        <v>600</v>
      </c>
      <c r="J42" s="590">
        <f>G42/H42*SUM(C42:C45)*I42</f>
        <v>612062.52144082333</v>
      </c>
      <c r="K42" s="636">
        <f>J42+SUM(F42:F45)</f>
        <v>1651357.7714408233</v>
      </c>
      <c r="L42" s="582">
        <f>K42/SUM(C42:C45)</f>
        <v>701.80950762465932</v>
      </c>
      <c r="M42" s="211">
        <v>34</v>
      </c>
      <c r="N42" s="74">
        <v>17</v>
      </c>
      <c r="O42" s="264">
        <v>1018</v>
      </c>
      <c r="P42">
        <f t="shared" si="3"/>
        <v>0</v>
      </c>
      <c r="Q42" s="637">
        <v>192</v>
      </c>
      <c r="R42" s="276" t="s">
        <v>272</v>
      </c>
      <c r="S42" s="276">
        <v>505</v>
      </c>
      <c r="T42" s="195">
        <v>1.45</v>
      </c>
      <c r="U42" s="274">
        <v>315</v>
      </c>
      <c r="V42" s="247">
        <f t="shared" si="2"/>
        <v>230658.75</v>
      </c>
      <c r="W42" s="540">
        <v>2022</v>
      </c>
      <c r="X42" s="540">
        <v>4664</v>
      </c>
      <c r="Y42" s="540">
        <v>600</v>
      </c>
      <c r="Z42" s="598">
        <f>W42/X42*SUM(S42:S45)*Y42</f>
        <v>601137.47855917667</v>
      </c>
      <c r="AA42" s="598">
        <f>Z42+SUM(V42:V45)</f>
        <v>1620304.2285591767</v>
      </c>
      <c r="AB42" s="598">
        <f>AA42/SUM(S42:S45)</f>
        <v>701.12688384213618</v>
      </c>
      <c r="AC42" s="276">
        <v>34</v>
      </c>
      <c r="AD42" s="74">
        <v>17</v>
      </c>
    </row>
    <row r="43" spans="1:30" ht="15.75">
      <c r="A43" s="632"/>
      <c r="B43" s="211" t="s">
        <v>101</v>
      </c>
      <c r="C43" s="211">
        <v>750</v>
      </c>
      <c r="D43" s="195">
        <v>1.3</v>
      </c>
      <c r="E43" s="249">
        <v>315</v>
      </c>
      <c r="F43" s="247">
        <f t="shared" si="1"/>
        <v>307125</v>
      </c>
      <c r="G43" s="590"/>
      <c r="H43" s="590"/>
      <c r="I43" s="590"/>
      <c r="J43" s="590"/>
      <c r="K43" s="590"/>
      <c r="L43" s="582"/>
      <c r="M43" s="211">
        <v>50</v>
      </c>
      <c r="N43" s="74">
        <v>25</v>
      </c>
      <c r="O43" s="264">
        <v>1520</v>
      </c>
      <c r="P43">
        <f t="shared" si="3"/>
        <v>0</v>
      </c>
      <c r="Q43" s="638"/>
      <c r="R43" s="276" t="s">
        <v>101</v>
      </c>
      <c r="S43" s="276">
        <v>770</v>
      </c>
      <c r="T43" s="195">
        <v>1.3</v>
      </c>
      <c r="U43" s="274">
        <v>315</v>
      </c>
      <c r="V43" s="247">
        <f t="shared" si="2"/>
        <v>315315</v>
      </c>
      <c r="W43" s="549"/>
      <c r="X43" s="549"/>
      <c r="Y43" s="549"/>
      <c r="Z43" s="601"/>
      <c r="AA43" s="601"/>
      <c r="AB43" s="601"/>
      <c r="AC43" s="276">
        <v>50</v>
      </c>
      <c r="AD43" s="74">
        <v>25</v>
      </c>
    </row>
    <row r="44" spans="1:30" ht="15.75">
      <c r="A44" s="632"/>
      <c r="B44" s="211" t="s">
        <v>96</v>
      </c>
      <c r="C44" s="211">
        <v>600</v>
      </c>
      <c r="D44" s="195">
        <v>1.45</v>
      </c>
      <c r="E44" s="249">
        <v>315</v>
      </c>
      <c r="F44" s="247">
        <f t="shared" si="1"/>
        <v>274050</v>
      </c>
      <c r="G44" s="590"/>
      <c r="H44" s="590"/>
      <c r="I44" s="590"/>
      <c r="J44" s="590"/>
      <c r="K44" s="590"/>
      <c r="L44" s="582"/>
      <c r="M44" s="211">
        <v>39</v>
      </c>
      <c r="N44" s="74">
        <v>20</v>
      </c>
      <c r="O44" s="264">
        <v>1156</v>
      </c>
      <c r="P44">
        <f t="shared" si="3"/>
        <v>0</v>
      </c>
      <c r="Q44" s="638"/>
      <c r="R44" s="276" t="s">
        <v>96</v>
      </c>
      <c r="S44" s="276">
        <v>556</v>
      </c>
      <c r="T44" s="195">
        <v>1.45</v>
      </c>
      <c r="U44" s="274">
        <v>315</v>
      </c>
      <c r="V44" s="247">
        <f t="shared" si="2"/>
        <v>253952.99999999997</v>
      </c>
      <c r="W44" s="549"/>
      <c r="X44" s="549"/>
      <c r="Y44" s="549"/>
      <c r="Z44" s="601"/>
      <c r="AA44" s="601"/>
      <c r="AB44" s="601"/>
      <c r="AC44" s="276">
        <v>39</v>
      </c>
      <c r="AD44" s="74">
        <v>19</v>
      </c>
    </row>
    <row r="45" spans="1:30" ht="15.75">
      <c r="A45" s="632"/>
      <c r="B45" s="211" t="s">
        <v>95</v>
      </c>
      <c r="C45" s="211">
        <v>490</v>
      </c>
      <c r="D45" s="195">
        <v>1.45</v>
      </c>
      <c r="E45" s="249">
        <v>315</v>
      </c>
      <c r="F45" s="247">
        <f t="shared" si="1"/>
        <v>223807.5</v>
      </c>
      <c r="G45" s="590"/>
      <c r="H45" s="590"/>
      <c r="I45" s="590"/>
      <c r="J45" s="590"/>
      <c r="K45" s="590"/>
      <c r="L45" s="582"/>
      <c r="M45" s="211">
        <v>32</v>
      </c>
      <c r="N45" s="74">
        <v>16</v>
      </c>
      <c r="O45" s="264">
        <v>970</v>
      </c>
      <c r="P45">
        <f t="shared" si="3"/>
        <v>0</v>
      </c>
      <c r="Q45" s="639"/>
      <c r="R45" s="276" t="s">
        <v>95</v>
      </c>
      <c r="S45" s="276">
        <v>480</v>
      </c>
      <c r="T45" s="195">
        <v>1.45</v>
      </c>
      <c r="U45" s="274">
        <v>315</v>
      </c>
      <c r="V45" s="247">
        <f t="shared" si="2"/>
        <v>219240</v>
      </c>
      <c r="W45" s="541"/>
      <c r="X45" s="541"/>
      <c r="Y45" s="541"/>
      <c r="Z45" s="599"/>
      <c r="AA45" s="599"/>
      <c r="AB45" s="599"/>
      <c r="AC45" s="276">
        <v>32</v>
      </c>
      <c r="AD45" s="74">
        <v>16</v>
      </c>
    </row>
    <row r="46" spans="1:30" ht="15.75">
      <c r="A46" s="632" t="s">
        <v>240</v>
      </c>
      <c r="B46" s="211" t="s">
        <v>101</v>
      </c>
      <c r="C46" s="211">
        <v>747</v>
      </c>
      <c r="D46" s="195">
        <v>1.1599999999999999</v>
      </c>
      <c r="E46" s="249">
        <v>315</v>
      </c>
      <c r="F46" s="247">
        <f t="shared" si="1"/>
        <v>272953.8</v>
      </c>
      <c r="G46" s="590">
        <v>2080</v>
      </c>
      <c r="H46" s="590">
        <v>3810</v>
      </c>
      <c r="I46" s="590">
        <v>600</v>
      </c>
      <c r="J46" s="590">
        <f>G46/H46*SUM(C46:C49)*I46</f>
        <v>642670.86614173232</v>
      </c>
      <c r="K46" s="636">
        <f>J46+SUM(F46:F49)</f>
        <v>1359585.6661417324</v>
      </c>
      <c r="L46" s="582">
        <f>K46/SUM(C46:C49)</f>
        <v>692.95905511811031</v>
      </c>
      <c r="M46" s="211">
        <v>50</v>
      </c>
      <c r="N46" s="74">
        <v>25</v>
      </c>
      <c r="O46" s="264">
        <v>1487</v>
      </c>
      <c r="P46">
        <f t="shared" si="3"/>
        <v>0</v>
      </c>
      <c r="Q46" s="637" t="s">
        <v>240</v>
      </c>
      <c r="R46" s="276" t="s">
        <v>101</v>
      </c>
      <c r="S46" s="276">
        <v>740</v>
      </c>
      <c r="T46" s="195">
        <v>1.1599999999999999</v>
      </c>
      <c r="U46" s="274">
        <v>315</v>
      </c>
      <c r="V46" s="247">
        <f t="shared" si="2"/>
        <v>270396</v>
      </c>
      <c r="W46" s="540">
        <v>2080</v>
      </c>
      <c r="X46" s="540">
        <v>3810</v>
      </c>
      <c r="Y46" s="540">
        <v>600</v>
      </c>
      <c r="Z46" s="598">
        <f>W46/X46*SUM(S46:S49)*Y46</f>
        <v>644636.22047244094</v>
      </c>
      <c r="AA46" s="598">
        <f>Z46+SUM(V46:V49)</f>
        <v>1363743.4204724408</v>
      </c>
      <c r="AB46" s="598">
        <f>AA46/SUM(S46:S49)</f>
        <v>692.9590551181102</v>
      </c>
      <c r="AC46" s="276">
        <v>50</v>
      </c>
      <c r="AD46" s="74">
        <v>25</v>
      </c>
    </row>
    <row r="47" spans="1:30" ht="15.75">
      <c r="A47" s="632"/>
      <c r="B47" s="211" t="s">
        <v>282</v>
      </c>
      <c r="C47" s="211">
        <v>480</v>
      </c>
      <c r="D47" s="195">
        <v>1.1599999999999999</v>
      </c>
      <c r="E47" s="249">
        <v>315</v>
      </c>
      <c r="F47" s="247">
        <f t="shared" si="1"/>
        <v>175392</v>
      </c>
      <c r="G47" s="590"/>
      <c r="H47" s="590"/>
      <c r="I47" s="590"/>
      <c r="J47" s="590"/>
      <c r="K47" s="590"/>
      <c r="L47" s="582"/>
      <c r="M47" s="211">
        <v>31</v>
      </c>
      <c r="N47" s="74">
        <v>16</v>
      </c>
      <c r="O47" s="264">
        <v>918</v>
      </c>
      <c r="P47">
        <f t="shared" si="3"/>
        <v>0</v>
      </c>
      <c r="Q47" s="638"/>
      <c r="R47" s="276" t="s">
        <v>282</v>
      </c>
      <c r="S47" s="276">
        <v>438</v>
      </c>
      <c r="T47" s="195">
        <v>1.1599999999999999</v>
      </c>
      <c r="U47" s="274">
        <v>315</v>
      </c>
      <c r="V47" s="247">
        <f t="shared" si="2"/>
        <v>160045.19999999998</v>
      </c>
      <c r="W47" s="549"/>
      <c r="X47" s="549"/>
      <c r="Y47" s="549"/>
      <c r="Z47" s="601"/>
      <c r="AA47" s="601"/>
      <c r="AB47" s="601"/>
      <c r="AC47" s="276">
        <v>31</v>
      </c>
      <c r="AD47" s="74">
        <v>15</v>
      </c>
    </row>
    <row r="48" spans="1:30" ht="15.75">
      <c r="A48" s="632"/>
      <c r="B48" s="211" t="s">
        <v>95</v>
      </c>
      <c r="C48" s="211">
        <v>435</v>
      </c>
      <c r="D48" s="195">
        <v>1.1599999999999999</v>
      </c>
      <c r="E48" s="249">
        <v>315</v>
      </c>
      <c r="F48" s="247">
        <f t="shared" si="1"/>
        <v>158949</v>
      </c>
      <c r="G48" s="590"/>
      <c r="H48" s="590"/>
      <c r="I48" s="590"/>
      <c r="J48" s="590"/>
      <c r="K48" s="590"/>
      <c r="L48" s="582"/>
      <c r="M48" s="211">
        <v>30</v>
      </c>
      <c r="N48" s="74">
        <v>15</v>
      </c>
      <c r="O48" s="264">
        <v>885</v>
      </c>
      <c r="P48">
        <f t="shared" si="3"/>
        <v>0</v>
      </c>
      <c r="Q48" s="638"/>
      <c r="R48" s="276" t="s">
        <v>95</v>
      </c>
      <c r="S48" s="276">
        <v>450</v>
      </c>
      <c r="T48" s="195">
        <v>1.1599999999999999</v>
      </c>
      <c r="U48" s="274">
        <v>315</v>
      </c>
      <c r="V48" s="247">
        <f t="shared" si="2"/>
        <v>164430</v>
      </c>
      <c r="W48" s="549"/>
      <c r="X48" s="549"/>
      <c r="Y48" s="549"/>
      <c r="Z48" s="601"/>
      <c r="AA48" s="601"/>
      <c r="AB48" s="601"/>
      <c r="AC48" s="276">
        <v>30</v>
      </c>
      <c r="AD48" s="74">
        <v>15</v>
      </c>
    </row>
    <row r="49" spans="1:30" ht="15.75">
      <c r="A49" s="632"/>
      <c r="B49" s="211" t="s">
        <v>150</v>
      </c>
      <c r="C49" s="211">
        <v>300</v>
      </c>
      <c r="D49" s="195">
        <v>1.1599999999999999</v>
      </c>
      <c r="E49" s="249">
        <v>315</v>
      </c>
      <c r="F49" s="247">
        <f t="shared" si="1"/>
        <v>109620</v>
      </c>
      <c r="G49" s="590"/>
      <c r="H49" s="590"/>
      <c r="I49" s="590"/>
      <c r="J49" s="590"/>
      <c r="K49" s="590"/>
      <c r="L49" s="582"/>
      <c r="M49" s="211">
        <v>17</v>
      </c>
      <c r="N49" s="74">
        <v>9</v>
      </c>
      <c r="O49" s="264">
        <v>520</v>
      </c>
      <c r="P49">
        <f t="shared" si="3"/>
        <v>120</v>
      </c>
      <c r="Q49" s="639"/>
      <c r="R49" s="276" t="s">
        <v>150</v>
      </c>
      <c r="S49" s="276">
        <v>340</v>
      </c>
      <c r="T49" s="195">
        <v>1.1599999999999999</v>
      </c>
      <c r="U49" s="274">
        <v>315</v>
      </c>
      <c r="V49" s="247">
        <f t="shared" si="2"/>
        <v>124236</v>
      </c>
      <c r="W49" s="541"/>
      <c r="X49" s="541"/>
      <c r="Y49" s="541"/>
      <c r="Z49" s="599"/>
      <c r="AA49" s="599"/>
      <c r="AB49" s="599"/>
      <c r="AC49" s="276">
        <v>17</v>
      </c>
      <c r="AD49" s="74">
        <v>8</v>
      </c>
    </row>
    <row r="50" spans="1:30" ht="15" customHeight="1">
      <c r="A50" s="632" t="s">
        <v>147</v>
      </c>
      <c r="B50" s="211" t="s">
        <v>98</v>
      </c>
      <c r="C50" s="211">
        <v>273</v>
      </c>
      <c r="D50" s="195">
        <v>3</v>
      </c>
      <c r="E50" s="249">
        <v>315</v>
      </c>
      <c r="F50" s="247">
        <f t="shared" si="1"/>
        <v>257985</v>
      </c>
      <c r="G50" s="590">
        <v>1150</v>
      </c>
      <c r="H50" s="590">
        <v>1478</v>
      </c>
      <c r="I50" s="590">
        <v>600</v>
      </c>
      <c r="J50" s="590">
        <f>G50/H50*SUM(C50:C54)*I50</f>
        <v>365541.27198917454</v>
      </c>
      <c r="K50" s="582">
        <f>J50+SUM(F50:F54)</f>
        <v>1085631.2719891747</v>
      </c>
      <c r="L50" s="582">
        <f>K50/SUM(C50:C54)</f>
        <v>1386.5022630768515</v>
      </c>
      <c r="M50" s="211">
        <v>17</v>
      </c>
      <c r="N50" s="74">
        <v>9</v>
      </c>
      <c r="O50" s="264">
        <v>492</v>
      </c>
      <c r="P50">
        <f t="shared" si="3"/>
        <v>0</v>
      </c>
      <c r="Q50" s="637" t="s">
        <v>147</v>
      </c>
      <c r="R50" s="276" t="s">
        <v>98</v>
      </c>
      <c r="S50" s="276">
        <v>219</v>
      </c>
      <c r="T50" s="195">
        <v>3</v>
      </c>
      <c r="U50" s="274">
        <v>315</v>
      </c>
      <c r="V50" s="247">
        <f t="shared" si="2"/>
        <v>206955</v>
      </c>
      <c r="W50" s="540">
        <v>1150</v>
      </c>
      <c r="X50" s="540">
        <v>1478</v>
      </c>
      <c r="Y50" s="540">
        <v>600</v>
      </c>
      <c r="Z50" s="598">
        <f>W50/X50*SUM(S50:S54)*Y50</f>
        <v>324458.72801082546</v>
      </c>
      <c r="AA50" s="598">
        <f>Z50+SUM(V50:V54)</f>
        <v>964223.72801082546</v>
      </c>
      <c r="AB50" s="598">
        <f>AA50/SUM(S50:S54)</f>
        <v>1387.3722705191733</v>
      </c>
      <c r="AC50" s="276">
        <v>17</v>
      </c>
      <c r="AD50" s="74">
        <v>8</v>
      </c>
    </row>
    <row r="51" spans="1:30" ht="15.75">
      <c r="A51" s="632"/>
      <c r="B51" s="211" t="s">
        <v>96</v>
      </c>
      <c r="C51" s="211">
        <v>210</v>
      </c>
      <c r="D51" s="195">
        <v>2.7</v>
      </c>
      <c r="E51" s="249">
        <v>315</v>
      </c>
      <c r="F51" s="247">
        <f t="shared" si="1"/>
        <v>178605</v>
      </c>
      <c r="G51" s="590"/>
      <c r="H51" s="590"/>
      <c r="I51" s="590"/>
      <c r="J51" s="590"/>
      <c r="K51" s="590"/>
      <c r="L51" s="582"/>
      <c r="M51" s="211">
        <v>13</v>
      </c>
      <c r="N51" s="74">
        <v>7</v>
      </c>
      <c r="O51" s="264">
        <v>390</v>
      </c>
      <c r="P51">
        <f t="shared" si="3"/>
        <v>0</v>
      </c>
      <c r="Q51" s="638"/>
      <c r="R51" s="276" t="s">
        <v>96</v>
      </c>
      <c r="S51" s="276">
        <v>180</v>
      </c>
      <c r="T51" s="195">
        <v>2.7</v>
      </c>
      <c r="U51" s="274">
        <v>315</v>
      </c>
      <c r="V51" s="247">
        <f t="shared" si="2"/>
        <v>153090.00000000003</v>
      </c>
      <c r="W51" s="549"/>
      <c r="X51" s="549"/>
      <c r="Y51" s="549"/>
      <c r="Z51" s="601"/>
      <c r="AA51" s="601"/>
      <c r="AB51" s="601"/>
      <c r="AC51" s="276">
        <v>13</v>
      </c>
      <c r="AD51" s="74">
        <v>6</v>
      </c>
    </row>
    <row r="52" spans="1:30" ht="15" customHeight="1">
      <c r="A52" s="632"/>
      <c r="B52" s="211" t="s">
        <v>95</v>
      </c>
      <c r="C52" s="211">
        <v>90</v>
      </c>
      <c r="D52" s="195">
        <v>3</v>
      </c>
      <c r="E52" s="249">
        <v>315</v>
      </c>
      <c r="F52" s="247">
        <f t="shared" si="1"/>
        <v>85050</v>
      </c>
      <c r="G52" s="590"/>
      <c r="H52" s="590"/>
      <c r="I52" s="590"/>
      <c r="J52" s="590"/>
      <c r="K52" s="590"/>
      <c r="L52" s="582"/>
      <c r="M52" s="211">
        <v>6</v>
      </c>
      <c r="N52" s="74">
        <v>3</v>
      </c>
      <c r="O52" s="264">
        <v>189</v>
      </c>
      <c r="P52">
        <f t="shared" si="3"/>
        <v>0</v>
      </c>
      <c r="Q52" s="638"/>
      <c r="R52" s="276" t="s">
        <v>95</v>
      </c>
      <c r="S52" s="276">
        <v>99</v>
      </c>
      <c r="T52" s="195">
        <v>3</v>
      </c>
      <c r="U52" s="274">
        <v>315</v>
      </c>
      <c r="V52" s="247">
        <f t="shared" si="2"/>
        <v>93555</v>
      </c>
      <c r="W52" s="549"/>
      <c r="X52" s="549"/>
      <c r="Y52" s="549"/>
      <c r="Z52" s="601"/>
      <c r="AA52" s="601"/>
      <c r="AB52" s="601"/>
      <c r="AC52" s="276">
        <v>6</v>
      </c>
      <c r="AD52" s="74">
        <v>3</v>
      </c>
    </row>
    <row r="53" spans="1:30" ht="15.75">
      <c r="A53" s="632"/>
      <c r="B53" s="211" t="s">
        <v>272</v>
      </c>
      <c r="C53" s="211">
        <v>90</v>
      </c>
      <c r="D53" s="195">
        <v>3</v>
      </c>
      <c r="E53" s="249">
        <v>315</v>
      </c>
      <c r="F53" s="247">
        <f t="shared" si="1"/>
        <v>85050</v>
      </c>
      <c r="G53" s="590"/>
      <c r="H53" s="590"/>
      <c r="I53" s="590"/>
      <c r="J53" s="590"/>
      <c r="K53" s="590"/>
      <c r="L53" s="582"/>
      <c r="M53" s="211">
        <v>6</v>
      </c>
      <c r="N53" s="74">
        <v>3</v>
      </c>
      <c r="O53" s="264">
        <v>184</v>
      </c>
      <c r="P53">
        <f t="shared" si="3"/>
        <v>0</v>
      </c>
      <c r="Q53" s="638"/>
      <c r="R53" s="276" t="s">
        <v>272</v>
      </c>
      <c r="S53" s="276">
        <v>94</v>
      </c>
      <c r="T53" s="195">
        <v>3</v>
      </c>
      <c r="U53" s="274">
        <v>315</v>
      </c>
      <c r="V53" s="247">
        <f t="shared" si="2"/>
        <v>88830</v>
      </c>
      <c r="W53" s="549"/>
      <c r="X53" s="549"/>
      <c r="Y53" s="549"/>
      <c r="Z53" s="601"/>
      <c r="AA53" s="601"/>
      <c r="AB53" s="601"/>
      <c r="AC53" s="276">
        <v>6</v>
      </c>
      <c r="AD53" s="74">
        <v>3</v>
      </c>
    </row>
    <row r="54" spans="1:30" ht="15.75">
      <c r="A54" s="632"/>
      <c r="B54" s="211" t="s">
        <v>97</v>
      </c>
      <c r="C54" s="211">
        <v>120</v>
      </c>
      <c r="D54" s="195">
        <v>3</v>
      </c>
      <c r="E54" s="249">
        <v>315</v>
      </c>
      <c r="F54" s="247">
        <f t="shared" si="1"/>
        <v>113400</v>
      </c>
      <c r="G54" s="590"/>
      <c r="H54" s="590"/>
      <c r="I54" s="590"/>
      <c r="J54" s="590"/>
      <c r="K54" s="590"/>
      <c r="L54" s="582"/>
      <c r="M54" s="211">
        <v>8</v>
      </c>
      <c r="N54" s="74">
        <v>4</v>
      </c>
      <c r="O54" s="264">
        <v>223</v>
      </c>
      <c r="P54">
        <f t="shared" si="3"/>
        <v>0</v>
      </c>
      <c r="Q54" s="639"/>
      <c r="R54" s="276" t="s">
        <v>97</v>
      </c>
      <c r="S54" s="276">
        <v>103</v>
      </c>
      <c r="T54" s="195">
        <v>3</v>
      </c>
      <c r="U54" s="274">
        <v>315</v>
      </c>
      <c r="V54" s="247">
        <f t="shared" si="2"/>
        <v>97335</v>
      </c>
      <c r="W54" s="541"/>
      <c r="X54" s="541"/>
      <c r="Y54" s="541"/>
      <c r="Z54" s="599"/>
      <c r="AA54" s="599"/>
      <c r="AB54" s="599"/>
      <c r="AC54" s="276">
        <v>8</v>
      </c>
      <c r="AD54" s="74">
        <v>4</v>
      </c>
    </row>
    <row r="55" spans="1:30" ht="15" customHeight="1">
      <c r="A55" s="632" t="s">
        <v>262</v>
      </c>
      <c r="B55" s="211" t="s">
        <v>98</v>
      </c>
      <c r="C55" s="211">
        <v>270</v>
      </c>
      <c r="D55" s="195">
        <v>3</v>
      </c>
      <c r="E55" s="249">
        <v>315</v>
      </c>
      <c r="F55" s="247">
        <f t="shared" si="1"/>
        <v>255150</v>
      </c>
      <c r="G55" s="590">
        <v>805</v>
      </c>
      <c r="H55" s="590">
        <v>1024</v>
      </c>
      <c r="I55" s="590">
        <v>600</v>
      </c>
      <c r="J55" s="590">
        <f>G55/H55*SUM(C55:C57)*I55</f>
        <v>263197.265625</v>
      </c>
      <c r="K55" s="582">
        <f>J55+SUM(F55:F57)</f>
        <v>773497.265625</v>
      </c>
      <c r="L55" s="582">
        <f>K55/SUM(C55:C57)</f>
        <v>1386.195816532258</v>
      </c>
      <c r="M55" s="211">
        <v>17</v>
      </c>
      <c r="N55" s="74">
        <v>9</v>
      </c>
      <c r="O55" s="264">
        <v>496</v>
      </c>
      <c r="P55">
        <f>S55+C55-O55</f>
        <v>0</v>
      </c>
      <c r="Q55" s="637" t="s">
        <v>262</v>
      </c>
      <c r="R55" s="276" t="s">
        <v>98</v>
      </c>
      <c r="S55" s="276">
        <v>226</v>
      </c>
      <c r="T55" s="195">
        <v>3</v>
      </c>
      <c r="U55" s="274">
        <v>315</v>
      </c>
      <c r="V55" s="247">
        <f t="shared" si="2"/>
        <v>213570</v>
      </c>
      <c r="W55" s="540">
        <v>805</v>
      </c>
      <c r="X55" s="540">
        <v>1024</v>
      </c>
      <c r="Y55" s="540">
        <v>600</v>
      </c>
      <c r="Z55" s="598">
        <f>W55/X55*SUM(S55:S57)*Y55</f>
        <v>219802.734375</v>
      </c>
      <c r="AA55" s="598">
        <f>Z55+SUM(V55:V57)</f>
        <v>645997.734375</v>
      </c>
      <c r="AB55" s="598">
        <f>AA55/SUM(S55:S57)</f>
        <v>1386.2612325643777</v>
      </c>
      <c r="AC55" s="276">
        <v>17</v>
      </c>
      <c r="AD55" s="74">
        <v>8</v>
      </c>
    </row>
    <row r="56" spans="1:30" ht="15.75">
      <c r="A56" s="632"/>
      <c r="B56" s="211" t="s">
        <v>96</v>
      </c>
      <c r="C56" s="211">
        <v>180</v>
      </c>
      <c r="D56" s="195">
        <v>2.7</v>
      </c>
      <c r="E56" s="249">
        <v>315</v>
      </c>
      <c r="F56" s="247">
        <f t="shared" si="1"/>
        <v>153090.00000000003</v>
      </c>
      <c r="G56" s="590"/>
      <c r="H56" s="590"/>
      <c r="I56" s="590"/>
      <c r="J56" s="590"/>
      <c r="K56" s="590"/>
      <c r="L56" s="582"/>
      <c r="M56" s="211">
        <v>11</v>
      </c>
      <c r="N56" s="74">
        <v>6</v>
      </c>
      <c r="O56" s="264">
        <v>330</v>
      </c>
      <c r="P56">
        <f t="shared" si="3"/>
        <v>0</v>
      </c>
      <c r="Q56" s="638"/>
      <c r="R56" s="276" t="s">
        <v>96</v>
      </c>
      <c r="S56" s="276">
        <v>150</v>
      </c>
      <c r="T56" s="195">
        <v>2.7</v>
      </c>
      <c r="U56" s="274">
        <v>315</v>
      </c>
      <c r="V56" s="247">
        <f t="shared" si="2"/>
        <v>127575</v>
      </c>
      <c r="W56" s="549"/>
      <c r="X56" s="549"/>
      <c r="Y56" s="549"/>
      <c r="Z56" s="601"/>
      <c r="AA56" s="601"/>
      <c r="AB56" s="601"/>
      <c r="AC56" s="276">
        <v>11</v>
      </c>
      <c r="AD56" s="74">
        <v>5</v>
      </c>
    </row>
    <row r="57" spans="1:30" ht="15" customHeight="1">
      <c r="A57" s="632"/>
      <c r="B57" s="211" t="s">
        <v>95</v>
      </c>
      <c r="C57" s="211">
        <v>108</v>
      </c>
      <c r="D57" s="195">
        <v>3</v>
      </c>
      <c r="E57" s="249">
        <v>315</v>
      </c>
      <c r="F57" s="247">
        <f t="shared" si="1"/>
        <v>102060</v>
      </c>
      <c r="G57" s="590"/>
      <c r="H57" s="590"/>
      <c r="I57" s="590"/>
      <c r="J57" s="590"/>
      <c r="K57" s="590"/>
      <c r="L57" s="582"/>
      <c r="M57" s="211">
        <v>7</v>
      </c>
      <c r="N57" s="74">
        <v>4</v>
      </c>
      <c r="O57" s="264">
        <v>198</v>
      </c>
      <c r="P57">
        <f t="shared" si="3"/>
        <v>0</v>
      </c>
      <c r="Q57" s="639"/>
      <c r="R57" s="276" t="s">
        <v>95</v>
      </c>
      <c r="S57" s="276">
        <v>90</v>
      </c>
      <c r="T57" s="195">
        <v>3</v>
      </c>
      <c r="U57" s="274">
        <v>315</v>
      </c>
      <c r="V57" s="247">
        <f t="shared" si="2"/>
        <v>85050</v>
      </c>
      <c r="W57" s="541"/>
      <c r="X57" s="541"/>
      <c r="Y57" s="541"/>
      <c r="Z57" s="599"/>
      <c r="AA57" s="599"/>
      <c r="AB57" s="599"/>
      <c r="AC57" s="276">
        <v>7</v>
      </c>
      <c r="AD57" s="74">
        <v>3</v>
      </c>
    </row>
    <row r="58" spans="1:30" ht="15.75">
      <c r="A58" s="632" t="s">
        <v>105</v>
      </c>
      <c r="B58" s="211" t="s">
        <v>94</v>
      </c>
      <c r="C58" s="211">
        <v>699</v>
      </c>
      <c r="D58" s="195">
        <v>1</v>
      </c>
      <c r="E58" s="249">
        <v>315</v>
      </c>
      <c r="F58" s="247">
        <f t="shared" si="1"/>
        <v>220185</v>
      </c>
      <c r="G58" s="590">
        <v>671</v>
      </c>
      <c r="H58" s="590">
        <v>1830</v>
      </c>
      <c r="I58" s="590">
        <v>600</v>
      </c>
      <c r="J58" s="590">
        <f>G58/H58*SUM(C58:C62)*I58</f>
        <v>446379.99999999994</v>
      </c>
      <c r="K58" s="582">
        <f>J58+SUM(F58:F62)</f>
        <v>1085515</v>
      </c>
      <c r="L58" s="582">
        <f>K58/SUM(C58:C62)</f>
        <v>535</v>
      </c>
      <c r="M58" s="211">
        <v>10</v>
      </c>
      <c r="N58" s="74">
        <v>5</v>
      </c>
      <c r="O58" s="264">
        <v>300</v>
      </c>
      <c r="P58">
        <f t="shared" si="3"/>
        <v>1059</v>
      </c>
      <c r="Q58" s="637" t="s">
        <v>105</v>
      </c>
      <c r="R58" s="276" t="s">
        <v>94</v>
      </c>
      <c r="S58" s="276">
        <v>660</v>
      </c>
      <c r="T58" s="195">
        <v>1</v>
      </c>
      <c r="U58" s="274">
        <v>315</v>
      </c>
      <c r="V58" s="247">
        <f t="shared" si="2"/>
        <v>207900</v>
      </c>
      <c r="W58" s="540">
        <v>671</v>
      </c>
      <c r="X58" s="540">
        <v>1830</v>
      </c>
      <c r="Y58" s="540">
        <v>600</v>
      </c>
      <c r="Z58" s="598">
        <f>W58/X58*SUM(S58:S62)*Y58</f>
        <v>411180</v>
      </c>
      <c r="AA58" s="598">
        <f>Z58+SUM(V58:V62)</f>
        <v>999915</v>
      </c>
      <c r="AB58" s="598">
        <f>AA58/SUM(S58:S62)</f>
        <v>535</v>
      </c>
      <c r="AC58" s="276">
        <v>10</v>
      </c>
      <c r="AD58" s="74">
        <v>5</v>
      </c>
    </row>
    <row r="59" spans="1:30" ht="15.75">
      <c r="A59" s="632"/>
      <c r="B59" s="211" t="s">
        <v>98</v>
      </c>
      <c r="C59" s="211">
        <v>670</v>
      </c>
      <c r="D59" s="195">
        <v>1</v>
      </c>
      <c r="E59" s="249">
        <v>315</v>
      </c>
      <c r="F59" s="247">
        <f t="shared" si="1"/>
        <v>211050</v>
      </c>
      <c r="G59" s="590"/>
      <c r="H59" s="590"/>
      <c r="I59" s="590"/>
      <c r="J59" s="590"/>
      <c r="K59" s="590"/>
      <c r="L59" s="582"/>
      <c r="M59" s="211">
        <v>10</v>
      </c>
      <c r="N59" s="74">
        <v>5</v>
      </c>
      <c r="O59" s="264">
        <v>300</v>
      </c>
      <c r="P59">
        <f t="shared" si="3"/>
        <v>1009</v>
      </c>
      <c r="Q59" s="638"/>
      <c r="R59" s="276" t="s">
        <v>98</v>
      </c>
      <c r="S59" s="276">
        <v>639</v>
      </c>
      <c r="T59" s="195">
        <v>1</v>
      </c>
      <c r="U59" s="274">
        <v>315</v>
      </c>
      <c r="V59" s="247">
        <f t="shared" si="2"/>
        <v>201285</v>
      </c>
      <c r="W59" s="549"/>
      <c r="X59" s="549"/>
      <c r="Y59" s="549"/>
      <c r="Z59" s="601"/>
      <c r="AA59" s="601"/>
      <c r="AB59" s="601"/>
      <c r="AC59" s="276">
        <v>10</v>
      </c>
      <c r="AD59" s="74">
        <v>5</v>
      </c>
    </row>
    <row r="60" spans="1:30" ht="15.75">
      <c r="A60" s="632"/>
      <c r="B60" s="211" t="s">
        <v>161</v>
      </c>
      <c r="C60" s="211">
        <v>180</v>
      </c>
      <c r="D60" s="195">
        <v>1</v>
      </c>
      <c r="E60" s="249">
        <v>315</v>
      </c>
      <c r="F60" s="247">
        <f t="shared" si="1"/>
        <v>56700</v>
      </c>
      <c r="G60" s="590"/>
      <c r="H60" s="590"/>
      <c r="I60" s="590"/>
      <c r="J60" s="590"/>
      <c r="K60" s="590"/>
      <c r="L60" s="582"/>
      <c r="M60" s="211">
        <v>11</v>
      </c>
      <c r="N60" s="74">
        <v>6</v>
      </c>
      <c r="O60" s="264">
        <v>330</v>
      </c>
      <c r="P60">
        <f t="shared" si="3"/>
        <v>0</v>
      </c>
      <c r="Q60" s="638"/>
      <c r="R60" s="276" t="s">
        <v>161</v>
      </c>
      <c r="S60" s="276">
        <v>150</v>
      </c>
      <c r="T60" s="195">
        <v>1</v>
      </c>
      <c r="U60" s="274">
        <v>315</v>
      </c>
      <c r="V60" s="247">
        <f t="shared" si="2"/>
        <v>47250</v>
      </c>
      <c r="W60" s="549"/>
      <c r="X60" s="549"/>
      <c r="Y60" s="549"/>
      <c r="Z60" s="601"/>
      <c r="AA60" s="601"/>
      <c r="AB60" s="601"/>
      <c r="AC60" s="276">
        <v>11</v>
      </c>
      <c r="AD60" s="74">
        <v>5</v>
      </c>
    </row>
    <row r="61" spans="1:30" ht="15.75">
      <c r="A61" s="632"/>
      <c r="B61" s="211" t="s">
        <v>95</v>
      </c>
      <c r="C61" s="211">
        <v>240</v>
      </c>
      <c r="D61" s="195">
        <v>1</v>
      </c>
      <c r="E61" s="249">
        <v>315</v>
      </c>
      <c r="F61" s="247">
        <f t="shared" si="1"/>
        <v>75600</v>
      </c>
      <c r="G61" s="590"/>
      <c r="H61" s="590"/>
      <c r="I61" s="590"/>
      <c r="J61" s="590"/>
      <c r="K61" s="590"/>
      <c r="L61" s="582"/>
      <c r="M61" s="211">
        <v>15</v>
      </c>
      <c r="N61" s="74">
        <v>8</v>
      </c>
      <c r="O61" s="264">
        <v>450</v>
      </c>
      <c r="P61">
        <f t="shared" si="3"/>
        <v>0</v>
      </c>
      <c r="Q61" s="638"/>
      <c r="R61" s="276" t="s">
        <v>95</v>
      </c>
      <c r="S61" s="276">
        <v>210</v>
      </c>
      <c r="T61" s="195">
        <v>1</v>
      </c>
      <c r="U61" s="274">
        <v>315</v>
      </c>
      <c r="V61" s="247">
        <f t="shared" si="2"/>
        <v>66150</v>
      </c>
      <c r="W61" s="549"/>
      <c r="X61" s="549"/>
      <c r="Y61" s="549"/>
      <c r="Z61" s="601"/>
      <c r="AA61" s="601"/>
      <c r="AB61" s="601"/>
      <c r="AC61" s="276">
        <v>15</v>
      </c>
      <c r="AD61" s="74">
        <v>7</v>
      </c>
    </row>
    <row r="62" spans="1:30" ht="15.75">
      <c r="A62" s="632"/>
      <c r="B62" s="211" t="s">
        <v>99</v>
      </c>
      <c r="C62" s="211">
        <v>240</v>
      </c>
      <c r="D62" s="195">
        <v>1</v>
      </c>
      <c r="E62" s="249">
        <v>315</v>
      </c>
      <c r="F62" s="247">
        <f t="shared" si="1"/>
        <v>75600</v>
      </c>
      <c r="G62" s="590"/>
      <c r="H62" s="590"/>
      <c r="I62" s="590"/>
      <c r="J62" s="590"/>
      <c r="K62" s="590"/>
      <c r="L62" s="582"/>
      <c r="M62" s="211">
        <v>15</v>
      </c>
      <c r="N62" s="74">
        <v>8</v>
      </c>
      <c r="O62" s="264">
        <v>450</v>
      </c>
      <c r="P62">
        <f t="shared" si="3"/>
        <v>0</v>
      </c>
      <c r="Q62" s="639"/>
      <c r="R62" s="276" t="s">
        <v>99</v>
      </c>
      <c r="S62" s="276">
        <v>210</v>
      </c>
      <c r="T62" s="195">
        <v>1</v>
      </c>
      <c r="U62" s="274">
        <v>315</v>
      </c>
      <c r="V62" s="247">
        <f t="shared" si="2"/>
        <v>66150</v>
      </c>
      <c r="W62" s="541"/>
      <c r="X62" s="541"/>
      <c r="Y62" s="541"/>
      <c r="Z62" s="599"/>
      <c r="AA62" s="599"/>
      <c r="AB62" s="599"/>
      <c r="AC62" s="276">
        <v>15</v>
      </c>
      <c r="AD62" s="74">
        <v>7</v>
      </c>
    </row>
    <row r="63" spans="1:30" ht="15" customHeight="1">
      <c r="A63" s="632" t="s">
        <v>289</v>
      </c>
      <c r="B63" s="211" t="s">
        <v>272</v>
      </c>
      <c r="C63" s="211">
        <v>495</v>
      </c>
      <c r="D63" s="195">
        <v>1.3</v>
      </c>
      <c r="E63" s="249">
        <v>315</v>
      </c>
      <c r="F63" s="247">
        <f t="shared" si="1"/>
        <v>202702.5</v>
      </c>
      <c r="G63" s="590">
        <v>748</v>
      </c>
      <c r="H63" s="590">
        <v>2006</v>
      </c>
      <c r="I63" s="590">
        <v>600</v>
      </c>
      <c r="J63" s="590">
        <f>G63/H63*SUM(C63:C65)*I63</f>
        <v>229993.22033898305</v>
      </c>
      <c r="K63" s="636">
        <f>J63+SUM(F63:F65)</f>
        <v>659306.720338983</v>
      </c>
      <c r="L63" s="582">
        <f>K63/SUM(C63:C65)</f>
        <v>641.34894974609244</v>
      </c>
      <c r="M63" s="211">
        <v>34</v>
      </c>
      <c r="N63" s="74">
        <v>17</v>
      </c>
      <c r="O63" s="264">
        <v>1005</v>
      </c>
      <c r="P63">
        <f t="shared" si="3"/>
        <v>0</v>
      </c>
      <c r="Q63" s="637" t="s">
        <v>289</v>
      </c>
      <c r="R63" s="276" t="s">
        <v>272</v>
      </c>
      <c r="S63" s="276">
        <v>510</v>
      </c>
      <c r="T63" s="195">
        <v>1.3</v>
      </c>
      <c r="U63" s="274">
        <v>315</v>
      </c>
      <c r="V63" s="247">
        <f t="shared" si="2"/>
        <v>208845</v>
      </c>
      <c r="W63" s="540">
        <v>748</v>
      </c>
      <c r="X63" s="540">
        <v>2006</v>
      </c>
      <c r="Y63" s="540">
        <v>600</v>
      </c>
      <c r="Z63" s="598">
        <f>W63/X63*SUM(S63:S65)*Y63</f>
        <v>218806.77966101698</v>
      </c>
      <c r="AA63" s="598">
        <f>Z63+SUM(V63:V65)</f>
        <v>626857.779661017</v>
      </c>
      <c r="AB63" s="598">
        <f>AA63/SUM(S63:S65)</f>
        <v>640.95887490901532</v>
      </c>
      <c r="AC63" s="276">
        <v>34</v>
      </c>
      <c r="AD63" s="74">
        <v>17</v>
      </c>
    </row>
    <row r="64" spans="1:30" ht="15.75">
      <c r="A64" s="632"/>
      <c r="B64" s="211" t="s">
        <v>95</v>
      </c>
      <c r="C64" s="211">
        <v>265</v>
      </c>
      <c r="D64" s="195">
        <v>1.4</v>
      </c>
      <c r="E64" s="249">
        <v>315</v>
      </c>
      <c r="F64" s="247">
        <f t="shared" si="1"/>
        <v>116865</v>
      </c>
      <c r="G64" s="590"/>
      <c r="H64" s="590"/>
      <c r="I64" s="590"/>
      <c r="J64" s="590"/>
      <c r="K64" s="590"/>
      <c r="L64" s="582"/>
      <c r="M64" s="211">
        <v>17</v>
      </c>
      <c r="N64" s="74">
        <v>9</v>
      </c>
      <c r="O64" s="264">
        <v>505</v>
      </c>
      <c r="P64">
        <f t="shared" si="3"/>
        <v>0</v>
      </c>
      <c r="Q64" s="638"/>
      <c r="R64" s="276" t="s">
        <v>95</v>
      </c>
      <c r="S64" s="276">
        <v>240</v>
      </c>
      <c r="T64" s="195">
        <v>1.4</v>
      </c>
      <c r="U64" s="274">
        <v>315</v>
      </c>
      <c r="V64" s="247">
        <f t="shared" si="2"/>
        <v>105840</v>
      </c>
      <c r="W64" s="549"/>
      <c r="X64" s="549"/>
      <c r="Y64" s="549"/>
      <c r="Z64" s="601"/>
      <c r="AA64" s="601"/>
      <c r="AB64" s="601"/>
      <c r="AC64" s="276">
        <v>17</v>
      </c>
      <c r="AD64" s="74">
        <v>8</v>
      </c>
    </row>
    <row r="65" spans="1:30" ht="15" customHeight="1">
      <c r="A65" s="632"/>
      <c r="B65" s="211" t="s">
        <v>96</v>
      </c>
      <c r="C65" s="211">
        <v>268</v>
      </c>
      <c r="D65" s="195">
        <v>1.3</v>
      </c>
      <c r="E65" s="249">
        <v>315</v>
      </c>
      <c r="F65" s="247">
        <f t="shared" si="1"/>
        <v>109746.00000000001</v>
      </c>
      <c r="G65" s="590"/>
      <c r="H65" s="590"/>
      <c r="I65" s="590"/>
      <c r="J65" s="590"/>
      <c r="K65" s="590"/>
      <c r="L65" s="582"/>
      <c r="M65" s="211">
        <v>17</v>
      </c>
      <c r="N65" s="74">
        <v>9</v>
      </c>
      <c r="O65" s="264">
        <v>496</v>
      </c>
      <c r="P65">
        <f t="shared" si="3"/>
        <v>0</v>
      </c>
      <c r="Q65" s="639"/>
      <c r="R65" s="276" t="s">
        <v>96</v>
      </c>
      <c r="S65" s="276">
        <v>228</v>
      </c>
      <c r="T65" s="195">
        <v>1.3</v>
      </c>
      <c r="U65" s="274">
        <v>315</v>
      </c>
      <c r="V65" s="247">
        <f t="shared" si="2"/>
        <v>93366.000000000015</v>
      </c>
      <c r="W65" s="541"/>
      <c r="X65" s="541"/>
      <c r="Y65" s="541"/>
      <c r="Z65" s="599"/>
      <c r="AA65" s="599"/>
      <c r="AB65" s="599"/>
      <c r="AC65" s="276">
        <v>17</v>
      </c>
      <c r="AD65" s="74">
        <v>8</v>
      </c>
    </row>
    <row r="66" spans="1:30" ht="15.75">
      <c r="A66" s="632" t="s">
        <v>240</v>
      </c>
      <c r="B66" s="211" t="s">
        <v>291</v>
      </c>
      <c r="C66" s="211">
        <v>30</v>
      </c>
      <c r="D66" s="195">
        <v>1.1599999999999999</v>
      </c>
      <c r="E66" s="249">
        <v>315</v>
      </c>
      <c r="F66" s="247">
        <f t="shared" si="1"/>
        <v>10962</v>
      </c>
      <c r="G66" s="590">
        <v>70</v>
      </c>
      <c r="H66" s="590">
        <v>180</v>
      </c>
      <c r="I66" s="590">
        <v>600</v>
      </c>
      <c r="J66" s="590">
        <f>G66/H66*SUM(C66:C67)*I66</f>
        <v>7000</v>
      </c>
      <c r="K66" s="636">
        <f>J66+SUM(F66:F67)</f>
        <v>17962</v>
      </c>
      <c r="L66" s="582">
        <f>K66/SUM(C66:C67)</f>
        <v>598.73333333333335</v>
      </c>
      <c r="M66" s="211">
        <v>2</v>
      </c>
      <c r="N66" s="74">
        <v>1</v>
      </c>
      <c r="O66" s="264">
        <v>60</v>
      </c>
      <c r="P66">
        <f t="shared" si="3"/>
        <v>0</v>
      </c>
      <c r="Q66" s="637" t="s">
        <v>240</v>
      </c>
      <c r="R66" s="276" t="s">
        <v>291</v>
      </c>
      <c r="S66" s="276">
        <v>30</v>
      </c>
      <c r="T66" s="195">
        <v>1.1599999999999999</v>
      </c>
      <c r="U66" s="274">
        <v>315</v>
      </c>
      <c r="V66" s="247">
        <f t="shared" si="2"/>
        <v>10962</v>
      </c>
      <c r="W66" s="540">
        <v>70</v>
      </c>
      <c r="X66" s="540">
        <v>180</v>
      </c>
      <c r="Y66" s="540">
        <v>600</v>
      </c>
      <c r="Z66" s="598">
        <f>W66/X66*SUM(S66:S67)*Y66</f>
        <v>7000</v>
      </c>
      <c r="AA66" s="598">
        <f>Z66+SUM(V66:V67)</f>
        <v>17962</v>
      </c>
      <c r="AB66" s="598">
        <f>AA66/SUM(S66:S67)</f>
        <v>598.73333333333335</v>
      </c>
      <c r="AC66" s="276">
        <v>2</v>
      </c>
      <c r="AD66" s="74">
        <v>1</v>
      </c>
    </row>
    <row r="67" spans="1:30" ht="15.75">
      <c r="A67" s="632"/>
      <c r="B67" s="211" t="s">
        <v>150</v>
      </c>
      <c r="C67" s="211">
        <v>0</v>
      </c>
      <c r="D67" s="195">
        <v>1.1599999999999999</v>
      </c>
      <c r="E67" s="249">
        <v>315</v>
      </c>
      <c r="F67" s="247">
        <f t="shared" si="1"/>
        <v>0</v>
      </c>
      <c r="G67" s="590"/>
      <c r="H67" s="590"/>
      <c r="I67" s="590"/>
      <c r="J67" s="590"/>
      <c r="K67" s="590"/>
      <c r="L67" s="582"/>
      <c r="M67" s="211">
        <v>4</v>
      </c>
      <c r="N67" s="74">
        <v>2</v>
      </c>
      <c r="O67" s="264">
        <v>120</v>
      </c>
      <c r="P67">
        <f t="shared" ref="P67:P68" si="4">S67+C67-O67</f>
        <v>-120</v>
      </c>
      <c r="Q67" s="638"/>
      <c r="R67" s="276" t="s">
        <v>150</v>
      </c>
      <c r="S67" s="276">
        <v>0</v>
      </c>
      <c r="T67" s="195">
        <v>1.1599999999999999</v>
      </c>
      <c r="U67" s="274">
        <v>315</v>
      </c>
      <c r="V67" s="247">
        <f t="shared" si="2"/>
        <v>0</v>
      </c>
      <c r="W67" s="541"/>
      <c r="X67" s="541"/>
      <c r="Y67" s="541"/>
      <c r="Z67" s="599"/>
      <c r="AA67" s="599"/>
      <c r="AB67" s="599"/>
      <c r="AC67" s="276">
        <v>4</v>
      </c>
      <c r="AD67" s="74">
        <v>3</v>
      </c>
    </row>
    <row r="68" spans="1:30" ht="15.75">
      <c r="A68" s="98"/>
      <c r="B68" s="98"/>
      <c r="C68" s="98">
        <f>SUM(C3:C67)</f>
        <v>24326</v>
      </c>
      <c r="D68" s="98"/>
      <c r="E68" s="98"/>
      <c r="F68" s="248">
        <f>SUM(F3:F67)</f>
        <v>9515712.1500000004</v>
      </c>
      <c r="G68" s="98">
        <f>SUM(G3:G67)</f>
        <v>20390</v>
      </c>
      <c r="H68" s="98">
        <f>SUM(H2:H67)</f>
        <v>49851</v>
      </c>
      <c r="I68" s="98"/>
      <c r="J68" s="98">
        <f>SUM(J3:J67)</f>
        <v>5964991.4795717578</v>
      </c>
      <c r="K68" s="98">
        <f>SUM(K2:K67)</f>
        <v>15480703.629571756</v>
      </c>
      <c r="L68" s="244"/>
      <c r="M68" s="211">
        <f>SUM(M3:M67)</f>
        <v>1662</v>
      </c>
      <c r="N68" s="176">
        <f>SUM(N3:N67)</f>
        <v>813</v>
      </c>
      <c r="O68" s="98">
        <f>SUM(O3:O67)</f>
        <v>49851</v>
      </c>
      <c r="P68">
        <f t="shared" si="4"/>
        <v>-270</v>
      </c>
      <c r="Q68" s="639"/>
      <c r="R68" s="98"/>
      <c r="S68" s="98">
        <f>SUM(S3:S67)</f>
        <v>25255</v>
      </c>
      <c r="T68" s="98"/>
      <c r="U68" s="98"/>
      <c r="V68" s="248">
        <f>SUM(V3:V67)</f>
        <v>9903751.1999999993</v>
      </c>
      <c r="W68" s="98">
        <f>SUM(W3:W67)</f>
        <v>20390</v>
      </c>
      <c r="X68" s="98">
        <f>SUM(X2:X67)</f>
        <v>49851</v>
      </c>
      <c r="Y68" s="98"/>
      <c r="Z68" s="97">
        <f>SUM(Z3:Z67)</f>
        <v>6259030.1278486568</v>
      </c>
      <c r="AA68" s="97">
        <f>SUM(AA2:AA67)</f>
        <v>16162781.327848656</v>
      </c>
      <c r="AB68" s="274"/>
      <c r="AC68" s="276">
        <f>SUM(AC3:AC67)</f>
        <v>1662</v>
      </c>
      <c r="AD68" s="74">
        <f>SUM(AD3:AD67)</f>
        <v>844</v>
      </c>
    </row>
    <row r="69" spans="1:30">
      <c r="G69" s="558" t="s">
        <v>233</v>
      </c>
      <c r="H69" s="558"/>
      <c r="I69" s="1">
        <f>K68+K69</f>
        <v>15635510.665867474</v>
      </c>
      <c r="J69" s="258">
        <v>0.01</v>
      </c>
      <c r="K69" s="1">
        <f>K68*1%</f>
        <v>154807.03629571755</v>
      </c>
      <c r="S69">
        <f>S68+C68</f>
        <v>49581</v>
      </c>
      <c r="W69" s="644" t="s">
        <v>233</v>
      </c>
      <c r="X69" s="645"/>
      <c r="Y69" s="1">
        <f>AA68+AA69</f>
        <v>16324409.141127143</v>
      </c>
      <c r="Z69" s="27">
        <v>0.01</v>
      </c>
      <c r="AA69" s="7">
        <f>AA68*1%</f>
        <v>161627.81327848657</v>
      </c>
    </row>
    <row r="75" spans="1:30" ht="15.75">
      <c r="K75" s="2" t="s">
        <v>216</v>
      </c>
      <c r="L75" s="2" t="s">
        <v>140</v>
      </c>
      <c r="M75" s="2" t="s">
        <v>4</v>
      </c>
      <c r="N75" s="2" t="s">
        <v>251</v>
      </c>
      <c r="O75" s="101" t="s">
        <v>123</v>
      </c>
      <c r="P75" s="10" t="s">
        <v>314</v>
      </c>
    </row>
    <row r="76" spans="1:30">
      <c r="K76" s="632" t="s">
        <v>109</v>
      </c>
      <c r="L76" s="271" t="s">
        <v>101</v>
      </c>
      <c r="M76" s="271">
        <v>2013</v>
      </c>
      <c r="N76" s="271">
        <f t="shared" ref="N76:N107" si="5">S3</f>
        <v>990</v>
      </c>
      <c r="O76" s="271">
        <f>C3</f>
        <v>1023</v>
      </c>
      <c r="P76" s="1">
        <f>O76+N76-M76</f>
        <v>0</v>
      </c>
    </row>
    <row r="77" spans="1:30">
      <c r="K77" s="632"/>
      <c r="L77" s="271" t="s">
        <v>150</v>
      </c>
      <c r="M77" s="271">
        <v>1356</v>
      </c>
      <c r="N77" s="272">
        <f t="shared" si="5"/>
        <v>660</v>
      </c>
      <c r="O77" s="272">
        <f t="shared" ref="O77:O140" si="6">C4</f>
        <v>696</v>
      </c>
      <c r="P77" s="1">
        <f t="shared" ref="P77:P140" si="7">O77+N77-M77</f>
        <v>0</v>
      </c>
    </row>
    <row r="78" spans="1:30">
      <c r="K78" s="632"/>
      <c r="L78" s="271" t="s">
        <v>95</v>
      </c>
      <c r="M78" s="271">
        <v>1300</v>
      </c>
      <c r="N78" s="272">
        <f t="shared" si="5"/>
        <v>630</v>
      </c>
      <c r="O78" s="272">
        <f t="shared" si="6"/>
        <v>670</v>
      </c>
      <c r="P78" s="1">
        <f t="shared" si="7"/>
        <v>0</v>
      </c>
    </row>
    <row r="79" spans="1:30">
      <c r="K79" s="632"/>
      <c r="L79" s="271" t="s">
        <v>102</v>
      </c>
      <c r="M79" s="271">
        <v>1566</v>
      </c>
      <c r="N79" s="272">
        <f t="shared" si="5"/>
        <v>780</v>
      </c>
      <c r="O79" s="272">
        <f t="shared" si="6"/>
        <v>786</v>
      </c>
      <c r="P79" s="1">
        <f t="shared" si="7"/>
        <v>0</v>
      </c>
    </row>
    <row r="80" spans="1:30">
      <c r="K80" s="632"/>
      <c r="L80" s="271" t="s">
        <v>100</v>
      </c>
      <c r="M80" s="271">
        <v>560</v>
      </c>
      <c r="N80" s="272">
        <f t="shared" si="5"/>
        <v>290</v>
      </c>
      <c r="O80" s="272">
        <f t="shared" si="6"/>
        <v>270</v>
      </c>
      <c r="P80" s="1">
        <f t="shared" si="7"/>
        <v>0</v>
      </c>
    </row>
    <row r="81" spans="11:16">
      <c r="K81" s="632"/>
      <c r="L81" s="271" t="s">
        <v>114</v>
      </c>
      <c r="M81" s="271">
        <v>682</v>
      </c>
      <c r="N81" s="272">
        <f t="shared" si="5"/>
        <v>322</v>
      </c>
      <c r="O81" s="272">
        <f t="shared" si="6"/>
        <v>360</v>
      </c>
      <c r="P81" s="1">
        <f t="shared" si="7"/>
        <v>0</v>
      </c>
    </row>
    <row r="82" spans="11:16">
      <c r="K82" s="632"/>
      <c r="L82" s="271" t="s">
        <v>110</v>
      </c>
      <c r="M82" s="271">
        <v>625</v>
      </c>
      <c r="N82" s="272">
        <f t="shared" si="5"/>
        <v>300</v>
      </c>
      <c r="O82" s="272">
        <f t="shared" si="6"/>
        <v>235</v>
      </c>
      <c r="P82" s="1">
        <f t="shared" si="7"/>
        <v>-90</v>
      </c>
    </row>
    <row r="83" spans="11:16">
      <c r="K83" s="632"/>
      <c r="L83" s="271" t="s">
        <v>190</v>
      </c>
      <c r="M83" s="271">
        <v>660</v>
      </c>
      <c r="N83" s="272">
        <f t="shared" si="5"/>
        <v>330</v>
      </c>
      <c r="O83" s="272">
        <f t="shared" si="6"/>
        <v>330</v>
      </c>
      <c r="P83" s="1">
        <f t="shared" si="7"/>
        <v>0</v>
      </c>
    </row>
    <row r="84" spans="11:16">
      <c r="K84" s="632" t="s">
        <v>46</v>
      </c>
      <c r="L84" s="271" t="s">
        <v>94</v>
      </c>
      <c r="M84" s="271">
        <v>2179</v>
      </c>
      <c r="N84" s="272">
        <f t="shared" si="5"/>
        <v>1080</v>
      </c>
      <c r="O84" s="272">
        <f t="shared" si="6"/>
        <v>1099</v>
      </c>
      <c r="P84" s="1">
        <f t="shared" si="7"/>
        <v>0</v>
      </c>
    </row>
    <row r="85" spans="11:16">
      <c r="K85" s="632"/>
      <c r="L85" s="271" t="s">
        <v>112</v>
      </c>
      <c r="M85" s="271">
        <v>1508</v>
      </c>
      <c r="N85" s="272">
        <f t="shared" si="5"/>
        <v>750</v>
      </c>
      <c r="O85" s="272">
        <f t="shared" si="6"/>
        <v>758</v>
      </c>
      <c r="P85" s="1">
        <f t="shared" si="7"/>
        <v>0</v>
      </c>
    </row>
    <row r="86" spans="11:16">
      <c r="K86" s="632"/>
      <c r="L86" s="271" t="s">
        <v>95</v>
      </c>
      <c r="M86" s="271">
        <v>979</v>
      </c>
      <c r="N86" s="272">
        <f t="shared" si="5"/>
        <v>480</v>
      </c>
      <c r="O86" s="272">
        <f t="shared" si="6"/>
        <v>499</v>
      </c>
      <c r="P86" s="1">
        <f t="shared" si="7"/>
        <v>0</v>
      </c>
    </row>
    <row r="87" spans="11:16">
      <c r="K87" s="632"/>
      <c r="L87" s="271" t="s">
        <v>96</v>
      </c>
      <c r="M87" s="271">
        <v>1070</v>
      </c>
      <c r="N87" s="272">
        <f t="shared" si="5"/>
        <v>510</v>
      </c>
      <c r="O87" s="272">
        <f t="shared" si="6"/>
        <v>560</v>
      </c>
      <c r="P87" s="1">
        <f t="shared" si="7"/>
        <v>0</v>
      </c>
    </row>
    <row r="88" spans="11:16">
      <c r="K88" s="632"/>
      <c r="L88" s="271" t="s">
        <v>150</v>
      </c>
      <c r="M88" s="271">
        <v>1005</v>
      </c>
      <c r="N88" s="272">
        <f t="shared" si="5"/>
        <v>495</v>
      </c>
      <c r="O88" s="272">
        <f t="shared" si="6"/>
        <v>510</v>
      </c>
      <c r="P88" s="1">
        <f t="shared" si="7"/>
        <v>0</v>
      </c>
    </row>
    <row r="89" spans="11:16">
      <c r="K89" s="632"/>
      <c r="L89" s="271" t="s">
        <v>101</v>
      </c>
      <c r="M89" s="271">
        <v>1206</v>
      </c>
      <c r="N89" s="272">
        <f t="shared" si="5"/>
        <v>600</v>
      </c>
      <c r="O89" s="272">
        <f t="shared" si="6"/>
        <v>606</v>
      </c>
      <c r="P89" s="1">
        <f t="shared" si="7"/>
        <v>0</v>
      </c>
    </row>
    <row r="90" spans="11:16">
      <c r="K90" s="632"/>
      <c r="L90" s="271" t="s">
        <v>102</v>
      </c>
      <c r="M90" s="271">
        <v>1009</v>
      </c>
      <c r="N90" s="272">
        <f t="shared" si="5"/>
        <v>499</v>
      </c>
      <c r="O90" s="272">
        <f t="shared" si="6"/>
        <v>510</v>
      </c>
      <c r="P90" s="1">
        <f t="shared" si="7"/>
        <v>0</v>
      </c>
    </row>
    <row r="91" spans="11:16">
      <c r="K91" s="632" t="s">
        <v>267</v>
      </c>
      <c r="L91" s="271" t="s">
        <v>101</v>
      </c>
      <c r="M91" s="271">
        <v>678</v>
      </c>
      <c r="N91" s="272">
        <f t="shared" si="5"/>
        <v>349</v>
      </c>
      <c r="O91" s="272">
        <f t="shared" si="6"/>
        <v>329</v>
      </c>
      <c r="P91" s="1">
        <f t="shared" si="7"/>
        <v>0</v>
      </c>
    </row>
    <row r="92" spans="11:16">
      <c r="K92" s="632"/>
      <c r="L92" s="271" t="s">
        <v>271</v>
      </c>
      <c r="M92" s="271">
        <v>716</v>
      </c>
      <c r="N92" s="272">
        <f t="shared" si="5"/>
        <v>360</v>
      </c>
      <c r="O92" s="272">
        <f t="shared" si="6"/>
        <v>356</v>
      </c>
      <c r="P92" s="1">
        <f t="shared" si="7"/>
        <v>0</v>
      </c>
    </row>
    <row r="93" spans="11:16">
      <c r="K93" s="632" t="s">
        <v>104</v>
      </c>
      <c r="L93" s="271" t="s">
        <v>96</v>
      </c>
      <c r="M93" s="271">
        <v>616</v>
      </c>
      <c r="N93" s="272">
        <f t="shared" si="5"/>
        <v>300</v>
      </c>
      <c r="O93" s="272">
        <f t="shared" si="6"/>
        <v>316</v>
      </c>
      <c r="P93" s="1">
        <f t="shared" si="7"/>
        <v>0</v>
      </c>
    </row>
    <row r="94" spans="11:16">
      <c r="K94" s="632"/>
      <c r="L94" s="271" t="s">
        <v>95</v>
      </c>
      <c r="M94" s="271">
        <v>616</v>
      </c>
      <c r="N94" s="272">
        <f t="shared" si="5"/>
        <v>300</v>
      </c>
      <c r="O94" s="272">
        <f t="shared" si="6"/>
        <v>316</v>
      </c>
      <c r="P94" s="1">
        <f t="shared" si="7"/>
        <v>0</v>
      </c>
    </row>
    <row r="95" spans="11:16">
      <c r="K95" s="632" t="s">
        <v>105</v>
      </c>
      <c r="L95" s="271" t="s">
        <v>94</v>
      </c>
      <c r="M95" s="271">
        <v>1059</v>
      </c>
      <c r="N95" s="272">
        <f t="shared" si="5"/>
        <v>0</v>
      </c>
      <c r="O95" s="272">
        <f t="shared" si="6"/>
        <v>0</v>
      </c>
      <c r="P95" s="1">
        <f t="shared" si="7"/>
        <v>-1059</v>
      </c>
    </row>
    <row r="96" spans="11:16">
      <c r="K96" s="632"/>
      <c r="L96" s="271" t="s">
        <v>270</v>
      </c>
      <c r="M96" s="271">
        <v>1009</v>
      </c>
      <c r="N96" s="272">
        <f t="shared" si="5"/>
        <v>0</v>
      </c>
      <c r="O96" s="272">
        <f t="shared" si="6"/>
        <v>0</v>
      </c>
      <c r="P96" s="1">
        <f t="shared" si="7"/>
        <v>-1009</v>
      </c>
    </row>
    <row r="97" spans="11:16">
      <c r="K97" s="632"/>
      <c r="L97" s="271" t="s">
        <v>96</v>
      </c>
      <c r="M97" s="271">
        <v>648</v>
      </c>
      <c r="N97" s="272">
        <f t="shared" si="5"/>
        <v>318</v>
      </c>
      <c r="O97" s="272">
        <f t="shared" si="6"/>
        <v>330</v>
      </c>
      <c r="P97" s="1">
        <f t="shared" si="7"/>
        <v>0</v>
      </c>
    </row>
    <row r="98" spans="11:16">
      <c r="K98" s="632" t="s">
        <v>287</v>
      </c>
      <c r="L98" s="271" t="s">
        <v>101</v>
      </c>
      <c r="M98" s="271">
        <v>975</v>
      </c>
      <c r="N98" s="272">
        <f t="shared" si="5"/>
        <v>480</v>
      </c>
      <c r="O98" s="272">
        <f t="shared" si="6"/>
        <v>495</v>
      </c>
      <c r="P98" s="1">
        <f t="shared" si="7"/>
        <v>0</v>
      </c>
    </row>
    <row r="99" spans="11:16">
      <c r="K99" s="632"/>
      <c r="L99" s="271" t="s">
        <v>244</v>
      </c>
      <c r="M99" s="271">
        <v>691</v>
      </c>
      <c r="N99" s="272">
        <f t="shared" si="5"/>
        <v>330</v>
      </c>
      <c r="O99" s="272">
        <f t="shared" si="6"/>
        <v>361</v>
      </c>
      <c r="P99" s="1">
        <f t="shared" si="7"/>
        <v>0</v>
      </c>
    </row>
    <row r="100" spans="11:16">
      <c r="K100" s="632"/>
      <c r="L100" s="271" t="s">
        <v>100</v>
      </c>
      <c r="M100" s="271">
        <v>758</v>
      </c>
      <c r="N100" s="272">
        <f t="shared" si="5"/>
        <v>362</v>
      </c>
      <c r="O100" s="272">
        <f t="shared" si="6"/>
        <v>396</v>
      </c>
      <c r="P100" s="1">
        <f t="shared" si="7"/>
        <v>0</v>
      </c>
    </row>
    <row r="101" spans="11:16">
      <c r="K101" s="632"/>
      <c r="L101" s="271" t="s">
        <v>110</v>
      </c>
      <c r="M101" s="271">
        <v>600</v>
      </c>
      <c r="N101" s="272">
        <f t="shared" si="5"/>
        <v>300</v>
      </c>
      <c r="O101" s="272">
        <f t="shared" si="6"/>
        <v>300</v>
      </c>
      <c r="P101" s="1">
        <f t="shared" si="7"/>
        <v>0</v>
      </c>
    </row>
    <row r="102" spans="11:16">
      <c r="K102" s="632"/>
      <c r="L102" s="271" t="s">
        <v>98</v>
      </c>
      <c r="M102" s="271">
        <v>667</v>
      </c>
      <c r="N102" s="272">
        <f t="shared" si="5"/>
        <v>327</v>
      </c>
      <c r="O102" s="272">
        <f t="shared" si="6"/>
        <v>340</v>
      </c>
      <c r="P102" s="1">
        <f t="shared" si="7"/>
        <v>0</v>
      </c>
    </row>
    <row r="103" spans="11:16">
      <c r="K103" s="632"/>
      <c r="L103" s="271" t="s">
        <v>290</v>
      </c>
      <c r="M103" s="271">
        <v>724</v>
      </c>
      <c r="N103" s="272">
        <f t="shared" si="5"/>
        <v>360</v>
      </c>
      <c r="O103" s="272">
        <f t="shared" si="6"/>
        <v>364</v>
      </c>
      <c r="P103" s="1">
        <f t="shared" si="7"/>
        <v>0</v>
      </c>
    </row>
    <row r="104" spans="11:16">
      <c r="K104" s="632"/>
      <c r="L104" s="271" t="s">
        <v>97</v>
      </c>
      <c r="M104" s="271">
        <v>548</v>
      </c>
      <c r="N104" s="272">
        <f t="shared" si="5"/>
        <v>270</v>
      </c>
      <c r="O104" s="272">
        <f t="shared" si="6"/>
        <v>278</v>
      </c>
      <c r="P104" s="1">
        <f t="shared" si="7"/>
        <v>0</v>
      </c>
    </row>
    <row r="105" spans="11:16">
      <c r="K105" s="632"/>
      <c r="L105" s="271" t="s">
        <v>95</v>
      </c>
      <c r="M105" s="271">
        <v>680</v>
      </c>
      <c r="N105" s="272">
        <f t="shared" si="5"/>
        <v>330</v>
      </c>
      <c r="O105" s="272">
        <f t="shared" si="6"/>
        <v>350</v>
      </c>
      <c r="P105" s="1">
        <f t="shared" si="7"/>
        <v>0</v>
      </c>
    </row>
    <row r="106" spans="11:16">
      <c r="K106" s="270">
        <v>255</v>
      </c>
      <c r="L106" s="271" t="s">
        <v>150</v>
      </c>
      <c r="M106" s="271">
        <v>1476</v>
      </c>
      <c r="N106" s="272">
        <f t="shared" si="5"/>
        <v>1296</v>
      </c>
      <c r="O106" s="272">
        <f t="shared" si="6"/>
        <v>0</v>
      </c>
      <c r="P106" s="1">
        <f t="shared" si="7"/>
        <v>-180</v>
      </c>
    </row>
    <row r="107" spans="11:16">
      <c r="K107" s="270" t="s">
        <v>191</v>
      </c>
      <c r="L107" s="271" t="s">
        <v>98</v>
      </c>
      <c r="M107" s="271">
        <v>1074</v>
      </c>
      <c r="N107" s="272">
        <f t="shared" si="5"/>
        <v>540</v>
      </c>
      <c r="O107" s="272">
        <f t="shared" si="6"/>
        <v>534</v>
      </c>
      <c r="P107" s="1">
        <f t="shared" si="7"/>
        <v>0</v>
      </c>
    </row>
    <row r="108" spans="11:16">
      <c r="K108" s="632" t="s">
        <v>288</v>
      </c>
      <c r="L108" s="271" t="s">
        <v>272</v>
      </c>
      <c r="M108" s="271">
        <v>721</v>
      </c>
      <c r="N108" s="272">
        <f t="shared" ref="N108:N139" si="8">S35</f>
        <v>480</v>
      </c>
      <c r="O108" s="272">
        <f t="shared" si="6"/>
        <v>241</v>
      </c>
      <c r="P108" s="1">
        <f t="shared" si="7"/>
        <v>0</v>
      </c>
    </row>
    <row r="109" spans="11:16">
      <c r="K109" s="632"/>
      <c r="L109" s="271" t="s">
        <v>95</v>
      </c>
      <c r="M109" s="271">
        <v>210</v>
      </c>
      <c r="N109" s="272">
        <f t="shared" si="8"/>
        <v>120</v>
      </c>
      <c r="O109" s="272">
        <f t="shared" si="6"/>
        <v>90</v>
      </c>
      <c r="P109" s="1">
        <f t="shared" si="7"/>
        <v>0</v>
      </c>
    </row>
    <row r="110" spans="11:16">
      <c r="K110" s="632"/>
      <c r="L110" s="271" t="s">
        <v>96</v>
      </c>
      <c r="M110" s="271">
        <v>433</v>
      </c>
      <c r="N110" s="272">
        <f t="shared" si="8"/>
        <v>300</v>
      </c>
      <c r="O110" s="272">
        <f t="shared" si="6"/>
        <v>133</v>
      </c>
      <c r="P110" s="1">
        <f t="shared" si="7"/>
        <v>0</v>
      </c>
    </row>
    <row r="111" spans="11:16">
      <c r="K111" s="632" t="s">
        <v>143</v>
      </c>
      <c r="L111" s="271" t="s">
        <v>272</v>
      </c>
      <c r="M111" s="271">
        <v>1022</v>
      </c>
      <c r="N111" s="272">
        <f t="shared" si="8"/>
        <v>510</v>
      </c>
      <c r="O111" s="272">
        <f t="shared" si="6"/>
        <v>512</v>
      </c>
      <c r="P111" s="1">
        <f t="shared" si="7"/>
        <v>0</v>
      </c>
    </row>
    <row r="112" spans="11:16">
      <c r="K112" s="632"/>
      <c r="L112" s="271" t="s">
        <v>96</v>
      </c>
      <c r="M112" s="271">
        <v>591</v>
      </c>
      <c r="N112" s="272">
        <f t="shared" si="8"/>
        <v>300</v>
      </c>
      <c r="O112" s="272">
        <f t="shared" si="6"/>
        <v>291</v>
      </c>
      <c r="P112" s="1">
        <f t="shared" si="7"/>
        <v>0</v>
      </c>
    </row>
    <row r="113" spans="11:16">
      <c r="K113" s="632"/>
      <c r="L113" s="271" t="s">
        <v>95</v>
      </c>
      <c r="M113" s="271">
        <v>399</v>
      </c>
      <c r="N113" s="272">
        <f t="shared" si="8"/>
        <v>180</v>
      </c>
      <c r="O113" s="272">
        <f t="shared" si="6"/>
        <v>219</v>
      </c>
      <c r="P113" s="1">
        <f t="shared" si="7"/>
        <v>0</v>
      </c>
    </row>
    <row r="114" spans="11:16">
      <c r="K114" s="632"/>
      <c r="L114" s="271" t="s">
        <v>102</v>
      </c>
      <c r="M114" s="271">
        <v>230</v>
      </c>
      <c r="N114" s="272">
        <f t="shared" si="8"/>
        <v>110</v>
      </c>
      <c r="O114" s="272">
        <f t="shared" si="6"/>
        <v>120</v>
      </c>
      <c r="P114" s="1">
        <f t="shared" si="7"/>
        <v>0</v>
      </c>
    </row>
    <row r="115" spans="11:16">
      <c r="K115" s="632">
        <v>192</v>
      </c>
      <c r="L115" s="271" t="s">
        <v>272</v>
      </c>
      <c r="M115" s="271">
        <v>1018</v>
      </c>
      <c r="N115" s="272">
        <f t="shared" si="8"/>
        <v>505</v>
      </c>
      <c r="O115" s="272">
        <f t="shared" si="6"/>
        <v>513</v>
      </c>
      <c r="P115" s="1">
        <f t="shared" si="7"/>
        <v>0</v>
      </c>
    </row>
    <row r="116" spans="11:16">
      <c r="K116" s="632"/>
      <c r="L116" s="271" t="s">
        <v>101</v>
      </c>
      <c r="M116" s="271">
        <v>1520</v>
      </c>
      <c r="N116" s="272">
        <f t="shared" si="8"/>
        <v>770</v>
      </c>
      <c r="O116" s="272">
        <f t="shared" si="6"/>
        <v>750</v>
      </c>
      <c r="P116" s="1">
        <f t="shared" si="7"/>
        <v>0</v>
      </c>
    </row>
    <row r="117" spans="11:16">
      <c r="K117" s="632"/>
      <c r="L117" s="271" t="s">
        <v>96</v>
      </c>
      <c r="M117" s="271">
        <v>1156</v>
      </c>
      <c r="N117" s="272">
        <f t="shared" si="8"/>
        <v>556</v>
      </c>
      <c r="O117" s="272">
        <f t="shared" si="6"/>
        <v>600</v>
      </c>
      <c r="P117" s="1">
        <f t="shared" si="7"/>
        <v>0</v>
      </c>
    </row>
    <row r="118" spans="11:16">
      <c r="K118" s="632"/>
      <c r="L118" s="271" t="s">
        <v>95</v>
      </c>
      <c r="M118" s="271">
        <v>970</v>
      </c>
      <c r="N118" s="272">
        <f t="shared" si="8"/>
        <v>480</v>
      </c>
      <c r="O118" s="272">
        <f t="shared" si="6"/>
        <v>490</v>
      </c>
      <c r="P118" s="1">
        <f t="shared" si="7"/>
        <v>0</v>
      </c>
    </row>
    <row r="119" spans="11:16">
      <c r="K119" s="632" t="s">
        <v>240</v>
      </c>
      <c r="L119" s="271" t="s">
        <v>101</v>
      </c>
      <c r="M119" s="271">
        <v>1487</v>
      </c>
      <c r="N119" s="272">
        <f t="shared" si="8"/>
        <v>740</v>
      </c>
      <c r="O119" s="272">
        <f t="shared" si="6"/>
        <v>747</v>
      </c>
      <c r="P119" s="1">
        <f t="shared" si="7"/>
        <v>0</v>
      </c>
    </row>
    <row r="120" spans="11:16">
      <c r="K120" s="632"/>
      <c r="L120" s="271" t="s">
        <v>282</v>
      </c>
      <c r="M120" s="271">
        <v>918</v>
      </c>
      <c r="N120" s="272">
        <f t="shared" si="8"/>
        <v>438</v>
      </c>
      <c r="O120" s="272">
        <f t="shared" si="6"/>
        <v>480</v>
      </c>
      <c r="P120" s="1">
        <f t="shared" si="7"/>
        <v>0</v>
      </c>
    </row>
    <row r="121" spans="11:16">
      <c r="K121" s="632"/>
      <c r="L121" s="271" t="s">
        <v>95</v>
      </c>
      <c r="M121" s="271">
        <v>885</v>
      </c>
      <c r="N121" s="272">
        <f t="shared" si="8"/>
        <v>450</v>
      </c>
      <c r="O121" s="272">
        <f t="shared" si="6"/>
        <v>435</v>
      </c>
      <c r="P121" s="1">
        <f t="shared" si="7"/>
        <v>0</v>
      </c>
    </row>
    <row r="122" spans="11:16">
      <c r="K122" s="632"/>
      <c r="L122" s="271" t="s">
        <v>150</v>
      </c>
      <c r="M122" s="271">
        <v>520</v>
      </c>
      <c r="N122" s="272">
        <f t="shared" si="8"/>
        <v>340</v>
      </c>
      <c r="O122" s="272">
        <f t="shared" si="6"/>
        <v>300</v>
      </c>
      <c r="P122" s="1">
        <f t="shared" si="7"/>
        <v>120</v>
      </c>
    </row>
    <row r="123" spans="11:16">
      <c r="K123" s="632" t="s">
        <v>147</v>
      </c>
      <c r="L123" s="271" t="s">
        <v>98</v>
      </c>
      <c r="M123" s="271">
        <v>492</v>
      </c>
      <c r="N123" s="272">
        <f t="shared" si="8"/>
        <v>219</v>
      </c>
      <c r="O123" s="272">
        <f t="shared" si="6"/>
        <v>273</v>
      </c>
      <c r="P123" s="1">
        <f t="shared" si="7"/>
        <v>0</v>
      </c>
    </row>
    <row r="124" spans="11:16">
      <c r="K124" s="632"/>
      <c r="L124" s="271" t="s">
        <v>96</v>
      </c>
      <c r="M124" s="271">
        <v>390</v>
      </c>
      <c r="N124" s="272">
        <f t="shared" si="8"/>
        <v>180</v>
      </c>
      <c r="O124" s="272">
        <f t="shared" si="6"/>
        <v>210</v>
      </c>
      <c r="P124" s="1">
        <f t="shared" si="7"/>
        <v>0</v>
      </c>
    </row>
    <row r="125" spans="11:16">
      <c r="K125" s="632"/>
      <c r="L125" s="271" t="s">
        <v>95</v>
      </c>
      <c r="M125" s="271">
        <v>189</v>
      </c>
      <c r="N125" s="272">
        <f t="shared" si="8"/>
        <v>99</v>
      </c>
      <c r="O125" s="272">
        <f t="shared" si="6"/>
        <v>90</v>
      </c>
      <c r="P125" s="1">
        <f t="shared" si="7"/>
        <v>0</v>
      </c>
    </row>
    <row r="126" spans="11:16">
      <c r="K126" s="632"/>
      <c r="L126" s="271" t="s">
        <v>272</v>
      </c>
      <c r="M126" s="271">
        <v>184</v>
      </c>
      <c r="N126" s="272">
        <f t="shared" si="8"/>
        <v>94</v>
      </c>
      <c r="O126" s="272">
        <f t="shared" si="6"/>
        <v>90</v>
      </c>
      <c r="P126" s="1">
        <f t="shared" si="7"/>
        <v>0</v>
      </c>
    </row>
    <row r="127" spans="11:16">
      <c r="K127" s="632"/>
      <c r="L127" s="271" t="s">
        <v>97</v>
      </c>
      <c r="M127" s="271">
        <v>223</v>
      </c>
      <c r="N127" s="272">
        <f t="shared" si="8"/>
        <v>103</v>
      </c>
      <c r="O127" s="272">
        <f t="shared" si="6"/>
        <v>120</v>
      </c>
      <c r="P127" s="1">
        <f t="shared" si="7"/>
        <v>0</v>
      </c>
    </row>
    <row r="128" spans="11:16">
      <c r="K128" s="632" t="s">
        <v>262</v>
      </c>
      <c r="L128" s="271" t="s">
        <v>98</v>
      </c>
      <c r="M128" s="271">
        <v>496</v>
      </c>
      <c r="N128" s="272">
        <f t="shared" si="8"/>
        <v>226</v>
      </c>
      <c r="O128" s="272">
        <f t="shared" si="6"/>
        <v>270</v>
      </c>
      <c r="P128" s="1">
        <f t="shared" si="7"/>
        <v>0</v>
      </c>
    </row>
    <row r="129" spans="11:16">
      <c r="K129" s="632"/>
      <c r="L129" s="271" t="s">
        <v>96</v>
      </c>
      <c r="M129" s="271">
        <v>330</v>
      </c>
      <c r="N129" s="272">
        <f t="shared" si="8"/>
        <v>150</v>
      </c>
      <c r="O129" s="272">
        <f t="shared" si="6"/>
        <v>180</v>
      </c>
      <c r="P129" s="1">
        <f t="shared" si="7"/>
        <v>0</v>
      </c>
    </row>
    <row r="130" spans="11:16">
      <c r="K130" s="632"/>
      <c r="L130" s="271" t="s">
        <v>95</v>
      </c>
      <c r="M130" s="271">
        <v>198</v>
      </c>
      <c r="N130" s="272">
        <f t="shared" si="8"/>
        <v>90</v>
      </c>
      <c r="O130" s="272">
        <f t="shared" si="6"/>
        <v>108</v>
      </c>
      <c r="P130" s="1">
        <f t="shared" si="7"/>
        <v>0</v>
      </c>
    </row>
    <row r="131" spans="11:16">
      <c r="K131" s="632" t="s">
        <v>105</v>
      </c>
      <c r="L131" s="271" t="s">
        <v>94</v>
      </c>
      <c r="M131" s="271">
        <v>300</v>
      </c>
      <c r="N131" s="272">
        <f t="shared" si="8"/>
        <v>660</v>
      </c>
      <c r="O131" s="272">
        <f t="shared" si="6"/>
        <v>699</v>
      </c>
      <c r="P131" s="1">
        <f t="shared" si="7"/>
        <v>1059</v>
      </c>
    </row>
    <row r="132" spans="11:16">
      <c r="K132" s="632"/>
      <c r="L132" s="271" t="s">
        <v>98</v>
      </c>
      <c r="M132" s="271">
        <v>300</v>
      </c>
      <c r="N132" s="272">
        <f t="shared" si="8"/>
        <v>639</v>
      </c>
      <c r="O132" s="272">
        <f t="shared" si="6"/>
        <v>670</v>
      </c>
      <c r="P132" s="1">
        <f t="shared" si="7"/>
        <v>1009</v>
      </c>
    </row>
    <row r="133" spans="11:16">
      <c r="K133" s="632"/>
      <c r="L133" s="271" t="s">
        <v>161</v>
      </c>
      <c r="M133" s="271">
        <v>330</v>
      </c>
      <c r="N133" s="272">
        <f t="shared" si="8"/>
        <v>150</v>
      </c>
      <c r="O133" s="272">
        <f t="shared" si="6"/>
        <v>180</v>
      </c>
      <c r="P133" s="1">
        <f t="shared" si="7"/>
        <v>0</v>
      </c>
    </row>
    <row r="134" spans="11:16">
      <c r="K134" s="632"/>
      <c r="L134" s="271" t="s">
        <v>95</v>
      </c>
      <c r="M134" s="271">
        <v>450</v>
      </c>
      <c r="N134" s="272">
        <f t="shared" si="8"/>
        <v>210</v>
      </c>
      <c r="O134" s="272">
        <f t="shared" si="6"/>
        <v>240</v>
      </c>
      <c r="P134" s="1">
        <f t="shared" si="7"/>
        <v>0</v>
      </c>
    </row>
    <row r="135" spans="11:16">
      <c r="K135" s="632"/>
      <c r="L135" s="271" t="s">
        <v>99</v>
      </c>
      <c r="M135" s="271">
        <v>450</v>
      </c>
      <c r="N135" s="272">
        <f t="shared" si="8"/>
        <v>210</v>
      </c>
      <c r="O135" s="272">
        <f t="shared" si="6"/>
        <v>240</v>
      </c>
      <c r="P135" s="1">
        <f t="shared" si="7"/>
        <v>0</v>
      </c>
    </row>
    <row r="136" spans="11:16">
      <c r="K136" s="632" t="s">
        <v>289</v>
      </c>
      <c r="L136" s="271" t="s">
        <v>272</v>
      </c>
      <c r="M136" s="271">
        <v>1005</v>
      </c>
      <c r="N136" s="272">
        <f t="shared" si="8"/>
        <v>510</v>
      </c>
      <c r="O136" s="272">
        <f t="shared" si="6"/>
        <v>495</v>
      </c>
      <c r="P136" s="1">
        <f t="shared" si="7"/>
        <v>0</v>
      </c>
    </row>
    <row r="137" spans="11:16">
      <c r="K137" s="632"/>
      <c r="L137" s="271" t="s">
        <v>95</v>
      </c>
      <c r="M137" s="271">
        <v>505</v>
      </c>
      <c r="N137" s="272">
        <f t="shared" si="8"/>
        <v>240</v>
      </c>
      <c r="O137" s="272">
        <f t="shared" si="6"/>
        <v>265</v>
      </c>
      <c r="P137" s="1">
        <f t="shared" si="7"/>
        <v>0</v>
      </c>
    </row>
    <row r="138" spans="11:16">
      <c r="K138" s="632"/>
      <c r="L138" s="271" t="s">
        <v>96</v>
      </c>
      <c r="M138" s="271">
        <v>496</v>
      </c>
      <c r="N138" s="272">
        <f t="shared" si="8"/>
        <v>228</v>
      </c>
      <c r="O138" s="272">
        <f t="shared" si="6"/>
        <v>268</v>
      </c>
      <c r="P138" s="1">
        <f t="shared" si="7"/>
        <v>0</v>
      </c>
    </row>
    <row r="139" spans="11:16">
      <c r="K139" s="632" t="s">
        <v>240</v>
      </c>
      <c r="L139" s="271" t="s">
        <v>291</v>
      </c>
      <c r="M139" s="271">
        <v>60</v>
      </c>
      <c r="N139" s="272">
        <f t="shared" si="8"/>
        <v>30</v>
      </c>
      <c r="O139" s="272">
        <f t="shared" si="6"/>
        <v>30</v>
      </c>
      <c r="P139" s="1">
        <f t="shared" si="7"/>
        <v>0</v>
      </c>
    </row>
    <row r="140" spans="11:16">
      <c r="K140" s="632"/>
      <c r="L140" s="271" t="s">
        <v>150</v>
      </c>
      <c r="M140" s="271">
        <v>120</v>
      </c>
      <c r="N140" s="272">
        <f t="shared" ref="N140:N141" si="9">S67</f>
        <v>0</v>
      </c>
      <c r="O140" s="272">
        <f t="shared" si="6"/>
        <v>0</v>
      </c>
      <c r="P140" s="1">
        <f t="shared" si="7"/>
        <v>-120</v>
      </c>
    </row>
    <row r="141" spans="11:16">
      <c r="K141" s="98"/>
      <c r="L141" s="98"/>
      <c r="M141" s="98">
        <f>SUM(M76:M140)</f>
        <v>49851</v>
      </c>
      <c r="N141" s="272">
        <f t="shared" si="9"/>
        <v>25255</v>
      </c>
      <c r="O141" s="272">
        <f t="shared" ref="O141" si="10">C68</f>
        <v>24326</v>
      </c>
      <c r="P141" s="1">
        <f>O141+N141-M141</f>
        <v>-270</v>
      </c>
    </row>
  </sheetData>
  <mergeCells count="229">
    <mergeCell ref="AB42:AB45"/>
    <mergeCell ref="W58:W62"/>
    <mergeCell ref="W55:W57"/>
    <mergeCell ref="W50:W54"/>
    <mergeCell ref="W46:W49"/>
    <mergeCell ref="Q1:AD1"/>
    <mergeCell ref="A1:N1"/>
    <mergeCell ref="W69:X69"/>
    <mergeCell ref="AA63:AA65"/>
    <mergeCell ref="AA58:AA62"/>
    <mergeCell ref="AA66:AA67"/>
    <mergeCell ref="AB55:AB57"/>
    <mergeCell ref="AA55:AA57"/>
    <mergeCell ref="X58:X62"/>
    <mergeCell ref="Z66:Z67"/>
    <mergeCell ref="Z63:Z65"/>
    <mergeCell ref="Z58:Z62"/>
    <mergeCell ref="AB66:AB67"/>
    <mergeCell ref="AB63:AB65"/>
    <mergeCell ref="AB58:AB62"/>
    <mergeCell ref="Y58:Y62"/>
    <mergeCell ref="Y63:Y65"/>
    <mergeCell ref="Y66:Y67"/>
    <mergeCell ref="AB50:AB54"/>
    <mergeCell ref="X25:X32"/>
    <mergeCell ref="X35:X37"/>
    <mergeCell ref="Y35:Y37"/>
    <mergeCell ref="Y25:Y32"/>
    <mergeCell ref="Z25:Z32"/>
    <mergeCell ref="Z35:Z37"/>
    <mergeCell ref="AA25:AA32"/>
    <mergeCell ref="AA35:AA37"/>
    <mergeCell ref="X38:X41"/>
    <mergeCell ref="L55:L57"/>
    <mergeCell ref="L58:L62"/>
    <mergeCell ref="L63:L65"/>
    <mergeCell ref="L66:L67"/>
    <mergeCell ref="K66:K67"/>
    <mergeCell ref="K63:K65"/>
    <mergeCell ref="I66:I67"/>
    <mergeCell ref="H63:H65"/>
    <mergeCell ref="L46:L49"/>
    <mergeCell ref="K55:K57"/>
    <mergeCell ref="X63:X65"/>
    <mergeCell ref="X66:X67"/>
    <mergeCell ref="Q42:Q45"/>
    <mergeCell ref="Q46:Q49"/>
    <mergeCell ref="Q50:Q54"/>
    <mergeCell ref="Q55:Q57"/>
    <mergeCell ref="Z55:Z57"/>
    <mergeCell ref="AA46:AA49"/>
    <mergeCell ref="AA50:AA54"/>
    <mergeCell ref="Y55:Y57"/>
    <mergeCell ref="Y50:Y54"/>
    <mergeCell ref="Y46:Y49"/>
    <mergeCell ref="W66:W67"/>
    <mergeCell ref="W63:W65"/>
    <mergeCell ref="Q58:Q62"/>
    <mergeCell ref="Q63:Q65"/>
    <mergeCell ref="Q66:Q68"/>
    <mergeCell ref="X42:X45"/>
    <mergeCell ref="Z46:Z49"/>
    <mergeCell ref="Z50:Z54"/>
    <mergeCell ref="X50:X54"/>
    <mergeCell ref="Y42:Y45"/>
    <mergeCell ref="Z42:Z45"/>
    <mergeCell ref="X46:X49"/>
    <mergeCell ref="X55:X57"/>
    <mergeCell ref="Q22:Q24"/>
    <mergeCell ref="AA38:AA41"/>
    <mergeCell ref="AA42:AA45"/>
    <mergeCell ref="AB25:AB32"/>
    <mergeCell ref="AB3:AB10"/>
    <mergeCell ref="W3:W10"/>
    <mergeCell ref="X3:X10"/>
    <mergeCell ref="Y3:Y10"/>
    <mergeCell ref="Z3:Z10"/>
    <mergeCell ref="X20:X21"/>
    <mergeCell ref="X22:X24"/>
    <mergeCell ref="AB11:AB17"/>
    <mergeCell ref="AB18:AB19"/>
    <mergeCell ref="Q38:Q41"/>
    <mergeCell ref="AB46:AB49"/>
    <mergeCell ref="AB22:AB24"/>
    <mergeCell ref="AB38:AB41"/>
    <mergeCell ref="AB35:AB37"/>
    <mergeCell ref="Z11:Z17"/>
    <mergeCell ref="Y38:Y41"/>
    <mergeCell ref="Z38:Z41"/>
    <mergeCell ref="Z22:Z24"/>
    <mergeCell ref="AB20:AB21"/>
    <mergeCell ref="L18:L19"/>
    <mergeCell ref="L20:L21"/>
    <mergeCell ref="L22:L24"/>
    <mergeCell ref="AA22:AA24"/>
    <mergeCell ref="AA11:AA17"/>
    <mergeCell ref="AA18:AA19"/>
    <mergeCell ref="Q3:Q10"/>
    <mergeCell ref="Q11:Q17"/>
    <mergeCell ref="Q18:Q19"/>
    <mergeCell ref="Q20:Q21"/>
    <mergeCell ref="AA3:AA10"/>
    <mergeCell ref="L3:L10"/>
    <mergeCell ref="Y20:Y21"/>
    <mergeCell ref="Z20:Z21"/>
    <mergeCell ref="L11:L17"/>
    <mergeCell ref="W11:W17"/>
    <mergeCell ref="W18:W19"/>
    <mergeCell ref="Y22:Y24"/>
    <mergeCell ref="X11:X17"/>
    <mergeCell ref="X18:X19"/>
    <mergeCell ref="Y18:Y19"/>
    <mergeCell ref="Y11:Y17"/>
    <mergeCell ref="Z18:Z19"/>
    <mergeCell ref="AA20:AA21"/>
    <mergeCell ref="J3:J10"/>
    <mergeCell ref="J11:J17"/>
    <mergeCell ref="J18:J19"/>
    <mergeCell ref="J20:J21"/>
    <mergeCell ref="J22:J24"/>
    <mergeCell ref="K18:K19"/>
    <mergeCell ref="K20:K21"/>
    <mergeCell ref="I3:I10"/>
    <mergeCell ref="K3:K10"/>
    <mergeCell ref="K11:K17"/>
    <mergeCell ref="I20:I21"/>
    <mergeCell ref="I11:I17"/>
    <mergeCell ref="I18:I19"/>
    <mergeCell ref="H38:H41"/>
    <mergeCell ref="L25:L32"/>
    <mergeCell ref="L35:L37"/>
    <mergeCell ref="I42:I45"/>
    <mergeCell ref="I46:I49"/>
    <mergeCell ref="I50:I54"/>
    <mergeCell ref="K22:K24"/>
    <mergeCell ref="K25:K32"/>
    <mergeCell ref="I35:I37"/>
    <mergeCell ref="I38:I41"/>
    <mergeCell ref="I22:I24"/>
    <mergeCell ref="J38:J41"/>
    <mergeCell ref="J50:J54"/>
    <mergeCell ref="K38:K41"/>
    <mergeCell ref="J46:J49"/>
    <mergeCell ref="L50:L54"/>
    <mergeCell ref="K35:K37"/>
    <mergeCell ref="H18:H19"/>
    <mergeCell ref="J66:J67"/>
    <mergeCell ref="I58:I62"/>
    <mergeCell ref="I63:I65"/>
    <mergeCell ref="W38:W41"/>
    <mergeCell ref="A3:A10"/>
    <mergeCell ref="G42:G45"/>
    <mergeCell ref="H3:H10"/>
    <mergeCell ref="H11:H17"/>
    <mergeCell ref="G3:G10"/>
    <mergeCell ref="G11:G17"/>
    <mergeCell ref="G18:G19"/>
    <mergeCell ref="G20:G21"/>
    <mergeCell ref="G22:G24"/>
    <mergeCell ref="G25:G32"/>
    <mergeCell ref="G35:G37"/>
    <mergeCell ref="G38:G41"/>
    <mergeCell ref="A38:A41"/>
    <mergeCell ref="A11:A17"/>
    <mergeCell ref="A18:A19"/>
    <mergeCell ref="A20:A21"/>
    <mergeCell ref="A22:A24"/>
    <mergeCell ref="H22:H24"/>
    <mergeCell ref="H58:H62"/>
    <mergeCell ref="A25:A32"/>
    <mergeCell ref="W20:W21"/>
    <mergeCell ref="K58:K62"/>
    <mergeCell ref="W22:W24"/>
    <mergeCell ref="I25:I32"/>
    <mergeCell ref="K46:K49"/>
    <mergeCell ref="K50:K54"/>
    <mergeCell ref="K42:K45"/>
    <mergeCell ref="G58:G62"/>
    <mergeCell ref="L38:L41"/>
    <mergeCell ref="L42:L45"/>
    <mergeCell ref="W35:W37"/>
    <mergeCell ref="W25:W32"/>
    <mergeCell ref="W42:W45"/>
    <mergeCell ref="Q25:Q32"/>
    <mergeCell ref="Q35:Q37"/>
    <mergeCell ref="A58:A62"/>
    <mergeCell ref="A46:A49"/>
    <mergeCell ref="J58:J62"/>
    <mergeCell ref="J25:J32"/>
    <mergeCell ref="J35:J37"/>
    <mergeCell ref="H20:H21"/>
    <mergeCell ref="H25:H32"/>
    <mergeCell ref="H35:H37"/>
    <mergeCell ref="G55:G57"/>
    <mergeCell ref="A66:A67"/>
    <mergeCell ref="A63:A65"/>
    <mergeCell ref="G46:G49"/>
    <mergeCell ref="G50:G54"/>
    <mergeCell ref="J42:J45"/>
    <mergeCell ref="I55:I57"/>
    <mergeCell ref="H42:H45"/>
    <mergeCell ref="A55:A57"/>
    <mergeCell ref="G63:G65"/>
    <mergeCell ref="G66:G67"/>
    <mergeCell ref="H66:H67"/>
    <mergeCell ref="A35:A37"/>
    <mergeCell ref="K139:K140"/>
    <mergeCell ref="K76:K83"/>
    <mergeCell ref="K84:K90"/>
    <mergeCell ref="K91:K92"/>
    <mergeCell ref="K93:K94"/>
    <mergeCell ref="K95:K97"/>
    <mergeCell ref="K98:K105"/>
    <mergeCell ref="K108:K110"/>
    <mergeCell ref="K111:K114"/>
    <mergeCell ref="K115:K118"/>
    <mergeCell ref="K131:K135"/>
    <mergeCell ref="K136:K138"/>
    <mergeCell ref="K123:K127"/>
    <mergeCell ref="K128:K130"/>
    <mergeCell ref="K119:K122"/>
    <mergeCell ref="A50:A54"/>
    <mergeCell ref="G69:H69"/>
    <mergeCell ref="J63:J65"/>
    <mergeCell ref="J55:J57"/>
    <mergeCell ref="H46:H49"/>
    <mergeCell ref="H50:H54"/>
    <mergeCell ref="H55:H57"/>
    <mergeCell ref="A42:A45"/>
  </mergeCells>
  <pageMargins left="0.68" right="0.21" top="0.37" bottom="0.68" header="0.14000000000000001" footer="0.14000000000000001"/>
  <pageSetup paperSize="9" scale="9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5"/>
  <sheetViews>
    <sheetView topLeftCell="A52" workbookViewId="0">
      <selection activeCell="A55" sqref="A55:A64"/>
    </sheetView>
  </sheetViews>
  <sheetFormatPr defaultRowHeight="15"/>
  <cols>
    <col min="11" max="11" width="10.7109375" customWidth="1"/>
    <col min="18" max="18" width="20.42578125" customWidth="1"/>
    <col min="23" max="23" width="8" bestFit="1" customWidth="1"/>
    <col min="28" max="28" width="10.85546875" customWidth="1"/>
  </cols>
  <sheetData>
    <row r="1" spans="1:32" ht="28.5">
      <c r="A1" s="605" t="s">
        <v>141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R1" s="605" t="s">
        <v>142</v>
      </c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</row>
    <row r="2" spans="1:32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251</v>
      </c>
      <c r="O2" s="105" t="s">
        <v>250</v>
      </c>
      <c r="R2" s="100" t="s">
        <v>0</v>
      </c>
      <c r="S2" s="100" t="s">
        <v>140</v>
      </c>
      <c r="T2" s="101" t="s">
        <v>123</v>
      </c>
      <c r="U2" s="101" t="s">
        <v>2</v>
      </c>
      <c r="V2" s="101" t="s">
        <v>3</v>
      </c>
      <c r="W2" s="102" t="s">
        <v>4</v>
      </c>
      <c r="X2" s="103" t="s">
        <v>5</v>
      </c>
      <c r="Y2" s="103" t="s">
        <v>6</v>
      </c>
      <c r="Z2" s="103" t="s">
        <v>7</v>
      </c>
      <c r="AA2" s="101" t="s">
        <v>8</v>
      </c>
      <c r="AB2" s="104" t="s">
        <v>9</v>
      </c>
      <c r="AC2" s="103" t="s">
        <v>10</v>
      </c>
      <c r="AD2" s="105" t="s">
        <v>125</v>
      </c>
      <c r="AE2" s="105" t="s">
        <v>251</v>
      </c>
      <c r="AF2" s="105" t="s">
        <v>250</v>
      </c>
    </row>
    <row r="3" spans="1:32" ht="15" customHeight="1">
      <c r="A3" s="616" t="s">
        <v>292</v>
      </c>
      <c r="B3" s="253" t="s">
        <v>150</v>
      </c>
      <c r="C3" s="262">
        <f>F75-T3</f>
        <v>1050</v>
      </c>
      <c r="D3" s="195">
        <v>0.85</v>
      </c>
      <c r="E3" s="252">
        <v>310</v>
      </c>
      <c r="F3" s="107">
        <f>C3*D3*E3</f>
        <v>276675</v>
      </c>
      <c r="G3" s="624">
        <v>3225.75</v>
      </c>
      <c r="H3" s="590">
        <v>10356</v>
      </c>
      <c r="I3" s="590">
        <v>620</v>
      </c>
      <c r="J3" s="590">
        <f>G3/H3*SUM(C3:C9)*I3</f>
        <v>1223617.0567786791</v>
      </c>
      <c r="K3" s="582">
        <f>J3+SUM(F3:F9)</f>
        <v>2893153.0567786791</v>
      </c>
      <c r="L3" s="582">
        <f>K3/SUM(C3:C9)</f>
        <v>456.6213789107764</v>
      </c>
      <c r="M3" s="254">
        <v>57</v>
      </c>
      <c r="N3" s="27">
        <f>M3-Q3</f>
        <v>35</v>
      </c>
      <c r="O3" s="27">
        <f>M3-N3</f>
        <v>22</v>
      </c>
      <c r="P3" s="39"/>
      <c r="Q3">
        <v>22</v>
      </c>
      <c r="R3" s="616" t="s">
        <v>292</v>
      </c>
      <c r="S3" s="263" t="s">
        <v>150</v>
      </c>
      <c r="T3" s="262">
        <f>Q3*30</f>
        <v>660</v>
      </c>
      <c r="U3" s="195">
        <v>0.85</v>
      </c>
      <c r="V3" s="261">
        <v>310</v>
      </c>
      <c r="W3" s="107">
        <f>T3*U3*V3</f>
        <v>173910</v>
      </c>
      <c r="X3" s="624">
        <v>3225.75</v>
      </c>
      <c r="Y3" s="590">
        <v>10356</v>
      </c>
      <c r="Z3" s="590">
        <v>620</v>
      </c>
      <c r="AA3" s="590">
        <f>X3/Y3*SUM(T3:T9)*Z3</f>
        <v>776347.94322132098</v>
      </c>
      <c r="AB3" s="582">
        <f>AA3+SUM(W3:W9)</f>
        <v>1835617.9432213209</v>
      </c>
      <c r="AC3" s="582">
        <f>AB3/SUM(T3:T9)</f>
        <v>456.62137891077634</v>
      </c>
      <c r="AD3" s="262">
        <v>57</v>
      </c>
      <c r="AE3" s="27">
        <f>AD3-AF3</f>
        <v>35</v>
      </c>
      <c r="AF3" s="27">
        <f>Q3</f>
        <v>22</v>
      </c>
    </row>
    <row r="4" spans="1:32">
      <c r="A4" s="616"/>
      <c r="B4" s="253" t="s">
        <v>97</v>
      </c>
      <c r="C4" s="262">
        <f t="shared" ref="C4:C67" si="0">F76-T4</f>
        <v>1228</v>
      </c>
      <c r="D4" s="195">
        <v>0.85</v>
      </c>
      <c r="E4" s="252">
        <v>310</v>
      </c>
      <c r="F4" s="107">
        <f t="shared" ref="F4:F68" si="1">C4*D4*E4</f>
        <v>323578</v>
      </c>
      <c r="G4" s="624"/>
      <c r="H4" s="590"/>
      <c r="I4" s="590"/>
      <c r="J4" s="590"/>
      <c r="K4" s="582"/>
      <c r="L4" s="582"/>
      <c r="M4" s="254">
        <v>67</v>
      </c>
      <c r="N4" s="27">
        <f t="shared" ref="N4:N67" si="2">M4-Q4</f>
        <v>41</v>
      </c>
      <c r="O4" s="27">
        <f t="shared" ref="O4:O67" si="3">M4-N4</f>
        <v>26</v>
      </c>
      <c r="P4" s="39"/>
      <c r="Q4">
        <v>26</v>
      </c>
      <c r="R4" s="616"/>
      <c r="S4" s="263" t="s">
        <v>97</v>
      </c>
      <c r="T4" s="262">
        <f t="shared" ref="T4:T67" si="4">Q4*30</f>
        <v>780</v>
      </c>
      <c r="U4" s="195">
        <v>0.85</v>
      </c>
      <c r="V4" s="261">
        <v>310</v>
      </c>
      <c r="W4" s="107">
        <f t="shared" ref="W4:W68" si="5">T4*U4*V4</f>
        <v>205530</v>
      </c>
      <c r="X4" s="624"/>
      <c r="Y4" s="590"/>
      <c r="Z4" s="590"/>
      <c r="AA4" s="590"/>
      <c r="AB4" s="582"/>
      <c r="AC4" s="582"/>
      <c r="AD4" s="262">
        <v>67</v>
      </c>
      <c r="AE4" s="27">
        <f t="shared" ref="AE4:AE67" si="6">AD4-AF4</f>
        <v>41</v>
      </c>
      <c r="AF4" s="27">
        <f t="shared" ref="AF4:AF67" si="7">Q4</f>
        <v>26</v>
      </c>
    </row>
    <row r="5" spans="1:32">
      <c r="A5" s="616"/>
      <c r="B5" s="253" t="s">
        <v>95</v>
      </c>
      <c r="C5" s="262">
        <f t="shared" si="0"/>
        <v>1440</v>
      </c>
      <c r="D5" s="195">
        <v>0.85</v>
      </c>
      <c r="E5" s="252">
        <v>310</v>
      </c>
      <c r="F5" s="107">
        <f t="shared" si="1"/>
        <v>379440</v>
      </c>
      <c r="G5" s="624"/>
      <c r="H5" s="590"/>
      <c r="I5" s="590"/>
      <c r="J5" s="590"/>
      <c r="K5" s="582"/>
      <c r="L5" s="582"/>
      <c r="M5" s="254">
        <v>79</v>
      </c>
      <c r="N5" s="27">
        <f t="shared" si="2"/>
        <v>48</v>
      </c>
      <c r="O5" s="27">
        <f t="shared" si="3"/>
        <v>31</v>
      </c>
      <c r="P5" s="39"/>
      <c r="Q5">
        <v>31</v>
      </c>
      <c r="R5" s="616"/>
      <c r="S5" s="263" t="s">
        <v>95</v>
      </c>
      <c r="T5" s="262">
        <f t="shared" si="4"/>
        <v>930</v>
      </c>
      <c r="U5" s="195">
        <v>0.85</v>
      </c>
      <c r="V5" s="261">
        <v>310</v>
      </c>
      <c r="W5" s="107">
        <f t="shared" si="5"/>
        <v>245055</v>
      </c>
      <c r="X5" s="624"/>
      <c r="Y5" s="590"/>
      <c r="Z5" s="590"/>
      <c r="AA5" s="590"/>
      <c r="AB5" s="582"/>
      <c r="AC5" s="582"/>
      <c r="AD5" s="262">
        <v>79</v>
      </c>
      <c r="AE5" s="27">
        <f t="shared" si="6"/>
        <v>48</v>
      </c>
      <c r="AF5" s="27">
        <f t="shared" si="7"/>
        <v>31</v>
      </c>
    </row>
    <row r="6" spans="1:32">
      <c r="A6" s="616"/>
      <c r="B6" s="253" t="s">
        <v>298</v>
      </c>
      <c r="C6" s="262">
        <f t="shared" si="0"/>
        <v>1362</v>
      </c>
      <c r="D6" s="195">
        <v>0.85</v>
      </c>
      <c r="E6" s="252">
        <v>310</v>
      </c>
      <c r="F6" s="107">
        <f t="shared" si="1"/>
        <v>358887</v>
      </c>
      <c r="G6" s="624"/>
      <c r="H6" s="590"/>
      <c r="I6" s="590"/>
      <c r="J6" s="590"/>
      <c r="K6" s="582"/>
      <c r="L6" s="582"/>
      <c r="M6" s="254">
        <v>75</v>
      </c>
      <c r="N6" s="27">
        <f t="shared" si="2"/>
        <v>45</v>
      </c>
      <c r="O6" s="27">
        <f t="shared" si="3"/>
        <v>30</v>
      </c>
      <c r="P6" s="39"/>
      <c r="Q6">
        <v>30</v>
      </c>
      <c r="R6" s="616"/>
      <c r="S6" s="263" t="s">
        <v>298</v>
      </c>
      <c r="T6" s="262">
        <f t="shared" si="4"/>
        <v>900</v>
      </c>
      <c r="U6" s="195">
        <v>0.85</v>
      </c>
      <c r="V6" s="261">
        <v>310</v>
      </c>
      <c r="W6" s="107">
        <f t="shared" si="5"/>
        <v>237150</v>
      </c>
      <c r="X6" s="624"/>
      <c r="Y6" s="590"/>
      <c r="Z6" s="590"/>
      <c r="AA6" s="590"/>
      <c r="AB6" s="582"/>
      <c r="AC6" s="582"/>
      <c r="AD6" s="262">
        <v>75</v>
      </c>
      <c r="AE6" s="27">
        <f t="shared" si="6"/>
        <v>45</v>
      </c>
      <c r="AF6" s="27">
        <f t="shared" si="7"/>
        <v>30</v>
      </c>
    </row>
    <row r="7" spans="1:32">
      <c r="A7" s="616"/>
      <c r="B7" s="253" t="s">
        <v>299</v>
      </c>
      <c r="C7" s="262">
        <f t="shared" si="0"/>
        <v>180</v>
      </c>
      <c r="D7" s="195">
        <v>0.85</v>
      </c>
      <c r="E7" s="252">
        <v>310</v>
      </c>
      <c r="F7" s="107">
        <f t="shared" si="1"/>
        <v>47430</v>
      </c>
      <c r="G7" s="624"/>
      <c r="H7" s="590"/>
      <c r="I7" s="590"/>
      <c r="J7" s="590"/>
      <c r="K7" s="582"/>
      <c r="L7" s="582"/>
      <c r="M7" s="254">
        <v>9</v>
      </c>
      <c r="N7" s="27">
        <f t="shared" si="2"/>
        <v>6</v>
      </c>
      <c r="O7" s="27">
        <f t="shared" si="3"/>
        <v>3</v>
      </c>
      <c r="P7" s="39"/>
      <c r="Q7">
        <v>3</v>
      </c>
      <c r="R7" s="616"/>
      <c r="S7" s="263" t="s">
        <v>299</v>
      </c>
      <c r="T7" s="262">
        <f t="shared" si="4"/>
        <v>90</v>
      </c>
      <c r="U7" s="195">
        <v>0.85</v>
      </c>
      <c r="V7" s="261">
        <v>310</v>
      </c>
      <c r="W7" s="107">
        <f t="shared" si="5"/>
        <v>23715</v>
      </c>
      <c r="X7" s="624"/>
      <c r="Y7" s="590"/>
      <c r="Z7" s="590"/>
      <c r="AA7" s="590"/>
      <c r="AB7" s="582"/>
      <c r="AC7" s="582"/>
      <c r="AD7" s="262">
        <v>9</v>
      </c>
      <c r="AE7" s="27">
        <f t="shared" si="6"/>
        <v>6</v>
      </c>
      <c r="AF7" s="27">
        <f t="shared" si="7"/>
        <v>3</v>
      </c>
    </row>
    <row r="8" spans="1:32">
      <c r="A8" s="616"/>
      <c r="B8" s="253" t="s">
        <v>100</v>
      </c>
      <c r="C8" s="262">
        <f t="shared" si="0"/>
        <v>446</v>
      </c>
      <c r="D8" s="195">
        <v>0.85</v>
      </c>
      <c r="E8" s="252">
        <v>310</v>
      </c>
      <c r="F8" s="107">
        <f t="shared" si="1"/>
        <v>117520.99999999999</v>
      </c>
      <c r="G8" s="624"/>
      <c r="H8" s="590"/>
      <c r="I8" s="590"/>
      <c r="J8" s="590"/>
      <c r="K8" s="582"/>
      <c r="L8" s="582"/>
      <c r="M8" s="254">
        <v>24</v>
      </c>
      <c r="N8" s="27">
        <f t="shared" si="2"/>
        <v>15</v>
      </c>
      <c r="O8" s="27">
        <f t="shared" si="3"/>
        <v>9</v>
      </c>
      <c r="P8" s="39"/>
      <c r="Q8">
        <v>9</v>
      </c>
      <c r="R8" s="616"/>
      <c r="S8" s="263" t="s">
        <v>100</v>
      </c>
      <c r="T8" s="262">
        <f t="shared" si="4"/>
        <v>270</v>
      </c>
      <c r="U8" s="195">
        <v>0.85</v>
      </c>
      <c r="V8" s="261">
        <v>310</v>
      </c>
      <c r="W8" s="107">
        <f t="shared" si="5"/>
        <v>71145</v>
      </c>
      <c r="X8" s="624"/>
      <c r="Y8" s="590"/>
      <c r="Z8" s="590"/>
      <c r="AA8" s="590"/>
      <c r="AB8" s="582"/>
      <c r="AC8" s="582"/>
      <c r="AD8" s="262">
        <v>24</v>
      </c>
      <c r="AE8" s="27">
        <f t="shared" si="6"/>
        <v>15</v>
      </c>
      <c r="AF8" s="27">
        <f t="shared" si="7"/>
        <v>9</v>
      </c>
    </row>
    <row r="9" spans="1:32">
      <c r="A9" s="616"/>
      <c r="B9" s="253" t="s">
        <v>101</v>
      </c>
      <c r="C9" s="262">
        <f t="shared" si="0"/>
        <v>630</v>
      </c>
      <c r="D9" s="195">
        <v>0.85</v>
      </c>
      <c r="E9" s="252">
        <v>310</v>
      </c>
      <c r="F9" s="107">
        <f t="shared" si="1"/>
        <v>166005</v>
      </c>
      <c r="G9" s="624"/>
      <c r="H9" s="590"/>
      <c r="I9" s="590"/>
      <c r="J9" s="590"/>
      <c r="K9" s="582"/>
      <c r="L9" s="582"/>
      <c r="M9" s="254">
        <v>34</v>
      </c>
      <c r="N9" s="27">
        <f t="shared" si="2"/>
        <v>21</v>
      </c>
      <c r="O9" s="27">
        <f t="shared" si="3"/>
        <v>13</v>
      </c>
      <c r="P9" s="39"/>
      <c r="Q9">
        <v>13</v>
      </c>
      <c r="R9" s="616"/>
      <c r="S9" s="263" t="s">
        <v>101</v>
      </c>
      <c r="T9" s="262">
        <f t="shared" si="4"/>
        <v>390</v>
      </c>
      <c r="U9" s="195">
        <v>0.85</v>
      </c>
      <c r="V9" s="261">
        <v>310</v>
      </c>
      <c r="W9" s="107">
        <f t="shared" si="5"/>
        <v>102765</v>
      </c>
      <c r="X9" s="624"/>
      <c r="Y9" s="590"/>
      <c r="Z9" s="590"/>
      <c r="AA9" s="590"/>
      <c r="AB9" s="582"/>
      <c r="AC9" s="582"/>
      <c r="AD9" s="262">
        <v>34</v>
      </c>
      <c r="AE9" s="27">
        <f t="shared" si="6"/>
        <v>21</v>
      </c>
      <c r="AF9" s="27">
        <f t="shared" si="7"/>
        <v>13</v>
      </c>
    </row>
    <row r="10" spans="1:32">
      <c r="A10" s="616" t="s">
        <v>108</v>
      </c>
      <c r="B10" s="253" t="s">
        <v>98</v>
      </c>
      <c r="C10" s="262">
        <f t="shared" si="0"/>
        <v>690</v>
      </c>
      <c r="D10" s="195">
        <v>1</v>
      </c>
      <c r="E10" s="252">
        <v>310</v>
      </c>
      <c r="F10" s="107">
        <f t="shared" si="1"/>
        <v>213900</v>
      </c>
      <c r="G10" s="624">
        <v>1344</v>
      </c>
      <c r="H10" s="590">
        <v>3359</v>
      </c>
      <c r="I10" s="590">
        <v>620</v>
      </c>
      <c r="J10" s="590">
        <f>G10/H10*SUM(C10:C13)*I10</f>
        <v>505822.54242334032</v>
      </c>
      <c r="K10" s="582">
        <f>J10+SUM(F10:F13)</f>
        <v>1160697.5424233403</v>
      </c>
      <c r="L10" s="582">
        <f>K10/SUM(C10:C13)</f>
        <v>569.24842688736646</v>
      </c>
      <c r="M10" s="254">
        <v>38</v>
      </c>
      <c r="N10" s="27">
        <f t="shared" si="2"/>
        <v>23</v>
      </c>
      <c r="O10" s="27">
        <f t="shared" si="3"/>
        <v>15</v>
      </c>
      <c r="P10" s="39"/>
      <c r="Q10">
        <v>15</v>
      </c>
      <c r="R10" s="616" t="s">
        <v>108</v>
      </c>
      <c r="S10" s="263" t="s">
        <v>98</v>
      </c>
      <c r="T10" s="262">
        <f t="shared" si="4"/>
        <v>450</v>
      </c>
      <c r="U10" s="195">
        <v>1</v>
      </c>
      <c r="V10" s="261">
        <v>310</v>
      </c>
      <c r="W10" s="107">
        <f t="shared" si="5"/>
        <v>139500</v>
      </c>
      <c r="X10" s="624">
        <v>1344</v>
      </c>
      <c r="Y10" s="590">
        <v>3359</v>
      </c>
      <c r="Z10" s="590">
        <v>620</v>
      </c>
      <c r="AA10" s="590">
        <f>X10/Y10*SUM(T10:T13)*Z10</f>
        <v>327457.45757665968</v>
      </c>
      <c r="AB10" s="582">
        <f>AA10+SUM(W10:W13)</f>
        <v>751537.45757665974</v>
      </c>
      <c r="AC10" s="582">
        <f>AB10/SUM(T10:T13)</f>
        <v>569.34655877019679</v>
      </c>
      <c r="AD10" s="262">
        <v>38</v>
      </c>
      <c r="AE10" s="27">
        <f t="shared" si="6"/>
        <v>23</v>
      </c>
      <c r="AF10" s="27">
        <f t="shared" si="7"/>
        <v>15</v>
      </c>
    </row>
    <row r="11" spans="1:32">
      <c r="A11" s="616"/>
      <c r="B11" s="253" t="s">
        <v>150</v>
      </c>
      <c r="C11" s="262">
        <f t="shared" si="0"/>
        <v>614</v>
      </c>
      <c r="D11" s="195">
        <v>1</v>
      </c>
      <c r="E11" s="252">
        <v>310</v>
      </c>
      <c r="F11" s="107">
        <f t="shared" si="1"/>
        <v>190340</v>
      </c>
      <c r="G11" s="624"/>
      <c r="H11" s="590"/>
      <c r="I11" s="590"/>
      <c r="J11" s="590"/>
      <c r="K11" s="582"/>
      <c r="L11" s="582"/>
      <c r="M11" s="254">
        <v>34</v>
      </c>
      <c r="N11" s="27">
        <f t="shared" si="2"/>
        <v>21</v>
      </c>
      <c r="O11" s="27">
        <f t="shared" si="3"/>
        <v>13</v>
      </c>
      <c r="P11" s="39"/>
      <c r="Q11">
        <v>13</v>
      </c>
      <c r="R11" s="616"/>
      <c r="S11" s="263" t="s">
        <v>150</v>
      </c>
      <c r="T11" s="262">
        <f t="shared" si="4"/>
        <v>390</v>
      </c>
      <c r="U11" s="195">
        <v>1</v>
      </c>
      <c r="V11" s="261">
        <v>310</v>
      </c>
      <c r="W11" s="107">
        <f t="shared" si="5"/>
        <v>120900</v>
      </c>
      <c r="X11" s="624"/>
      <c r="Y11" s="590"/>
      <c r="Z11" s="590"/>
      <c r="AA11" s="590"/>
      <c r="AB11" s="582"/>
      <c r="AC11" s="582"/>
      <c r="AD11" s="262">
        <v>34</v>
      </c>
      <c r="AE11" s="27">
        <f t="shared" si="6"/>
        <v>21</v>
      </c>
      <c r="AF11" s="27">
        <f t="shared" si="7"/>
        <v>13</v>
      </c>
    </row>
    <row r="12" spans="1:32">
      <c r="A12" s="616"/>
      <c r="B12" s="253" t="s">
        <v>95</v>
      </c>
      <c r="C12" s="262">
        <f t="shared" si="0"/>
        <v>365</v>
      </c>
      <c r="D12" s="195">
        <v>1.1000000000000001</v>
      </c>
      <c r="E12" s="252">
        <v>310</v>
      </c>
      <c r="F12" s="107">
        <f t="shared" si="1"/>
        <v>124465.00000000001</v>
      </c>
      <c r="G12" s="624"/>
      <c r="H12" s="590"/>
      <c r="I12" s="590"/>
      <c r="J12" s="590"/>
      <c r="K12" s="582"/>
      <c r="L12" s="582"/>
      <c r="M12" s="254">
        <v>20</v>
      </c>
      <c r="N12" s="27">
        <f t="shared" si="2"/>
        <v>12</v>
      </c>
      <c r="O12" s="27">
        <f t="shared" si="3"/>
        <v>8</v>
      </c>
      <c r="P12" s="39"/>
      <c r="Q12">
        <v>8</v>
      </c>
      <c r="R12" s="616"/>
      <c r="S12" s="263" t="s">
        <v>95</v>
      </c>
      <c r="T12" s="262">
        <f t="shared" si="4"/>
        <v>240</v>
      </c>
      <c r="U12" s="195">
        <v>1.1000000000000001</v>
      </c>
      <c r="V12" s="261">
        <v>310</v>
      </c>
      <c r="W12" s="107">
        <f t="shared" si="5"/>
        <v>81840</v>
      </c>
      <c r="X12" s="624"/>
      <c r="Y12" s="590"/>
      <c r="Z12" s="590"/>
      <c r="AA12" s="590"/>
      <c r="AB12" s="582"/>
      <c r="AC12" s="582"/>
      <c r="AD12" s="262">
        <v>20</v>
      </c>
      <c r="AE12" s="27">
        <f t="shared" si="6"/>
        <v>12</v>
      </c>
      <c r="AF12" s="27">
        <f t="shared" si="7"/>
        <v>8</v>
      </c>
    </row>
    <row r="13" spans="1:32">
      <c r="A13" s="616"/>
      <c r="B13" s="253" t="s">
        <v>97</v>
      </c>
      <c r="C13" s="262">
        <f t="shared" si="0"/>
        <v>370</v>
      </c>
      <c r="D13" s="195">
        <v>1.1000000000000001</v>
      </c>
      <c r="E13" s="252">
        <v>310</v>
      </c>
      <c r="F13" s="107">
        <f t="shared" si="1"/>
        <v>126170.00000000001</v>
      </c>
      <c r="G13" s="624"/>
      <c r="H13" s="590"/>
      <c r="I13" s="590"/>
      <c r="J13" s="590"/>
      <c r="K13" s="582"/>
      <c r="L13" s="582"/>
      <c r="M13" s="254">
        <v>20</v>
      </c>
      <c r="N13" s="27">
        <f t="shared" si="2"/>
        <v>12</v>
      </c>
      <c r="O13" s="27">
        <f t="shared" si="3"/>
        <v>8</v>
      </c>
      <c r="P13" s="39"/>
      <c r="Q13">
        <v>8</v>
      </c>
      <c r="R13" s="616"/>
      <c r="S13" s="263" t="s">
        <v>97</v>
      </c>
      <c r="T13" s="262">
        <f t="shared" si="4"/>
        <v>240</v>
      </c>
      <c r="U13" s="195">
        <v>1.1000000000000001</v>
      </c>
      <c r="V13" s="261">
        <v>310</v>
      </c>
      <c r="W13" s="107">
        <f t="shared" si="5"/>
        <v>81840</v>
      </c>
      <c r="X13" s="624"/>
      <c r="Y13" s="590"/>
      <c r="Z13" s="590"/>
      <c r="AA13" s="590"/>
      <c r="AB13" s="582"/>
      <c r="AC13" s="582"/>
      <c r="AD13" s="262">
        <v>20</v>
      </c>
      <c r="AE13" s="27">
        <f t="shared" si="6"/>
        <v>12</v>
      </c>
      <c r="AF13" s="27">
        <f t="shared" si="7"/>
        <v>8</v>
      </c>
    </row>
    <row r="14" spans="1:32">
      <c r="A14" s="616" t="s">
        <v>259</v>
      </c>
      <c r="B14" s="253" t="s">
        <v>98</v>
      </c>
      <c r="C14" s="262">
        <f t="shared" si="0"/>
        <v>205</v>
      </c>
      <c r="D14" s="195">
        <v>2.85</v>
      </c>
      <c r="E14" s="252">
        <v>310</v>
      </c>
      <c r="F14" s="107">
        <f t="shared" si="1"/>
        <v>181117.5</v>
      </c>
      <c r="G14" s="621">
        <v>955</v>
      </c>
      <c r="H14" s="590">
        <v>1220</v>
      </c>
      <c r="I14" s="590">
        <v>620</v>
      </c>
      <c r="J14" s="590">
        <f>G14/H14*SUM(C14:C17)*I14</f>
        <v>388262.2950819672</v>
      </c>
      <c r="K14" s="582">
        <f>J14+SUM(F14:F17)</f>
        <v>1078229.2950819673</v>
      </c>
      <c r="L14" s="582">
        <f>K14/SUM(C14:C17)</f>
        <v>1347.786618852459</v>
      </c>
      <c r="M14" s="254">
        <v>10</v>
      </c>
      <c r="N14" s="27">
        <f t="shared" si="2"/>
        <v>7</v>
      </c>
      <c r="O14" s="27">
        <f t="shared" si="3"/>
        <v>3</v>
      </c>
      <c r="P14" s="39"/>
      <c r="Q14">
        <v>3</v>
      </c>
      <c r="R14" s="616" t="s">
        <v>259</v>
      </c>
      <c r="S14" s="263" t="s">
        <v>98</v>
      </c>
      <c r="T14" s="262">
        <f t="shared" si="4"/>
        <v>90</v>
      </c>
      <c r="U14" s="195">
        <v>2.85</v>
      </c>
      <c r="V14" s="261">
        <v>310</v>
      </c>
      <c r="W14" s="107">
        <f t="shared" si="5"/>
        <v>79515</v>
      </c>
      <c r="X14" s="621">
        <v>955</v>
      </c>
      <c r="Y14" s="590">
        <v>1220</v>
      </c>
      <c r="Z14" s="590">
        <v>620</v>
      </c>
      <c r="AA14" s="590">
        <f>X14/Y14*SUM(T14:T17)*Z14</f>
        <v>203837.7049180328</v>
      </c>
      <c r="AB14" s="582">
        <f>AA14+SUM(W14:W17)</f>
        <v>563747.70491803274</v>
      </c>
      <c r="AC14" s="582">
        <f>AB14/SUM(T14:T17)</f>
        <v>1342.2564402810303</v>
      </c>
      <c r="AD14" s="262">
        <v>10</v>
      </c>
      <c r="AE14" s="27">
        <f t="shared" si="6"/>
        <v>7</v>
      </c>
      <c r="AF14" s="27">
        <f t="shared" si="7"/>
        <v>3</v>
      </c>
    </row>
    <row r="15" spans="1:32">
      <c r="A15" s="616"/>
      <c r="B15" s="253" t="s">
        <v>150</v>
      </c>
      <c r="C15" s="262">
        <f t="shared" si="0"/>
        <v>218</v>
      </c>
      <c r="D15" s="195">
        <v>2.85</v>
      </c>
      <c r="E15" s="252">
        <v>310</v>
      </c>
      <c r="F15" s="107">
        <f t="shared" si="1"/>
        <v>192603.00000000003</v>
      </c>
      <c r="G15" s="621"/>
      <c r="H15" s="590"/>
      <c r="I15" s="590"/>
      <c r="J15" s="590"/>
      <c r="K15" s="582"/>
      <c r="L15" s="582"/>
      <c r="M15" s="254">
        <v>11</v>
      </c>
      <c r="N15" s="27">
        <f t="shared" si="2"/>
        <v>7</v>
      </c>
      <c r="O15" s="27">
        <f t="shared" si="3"/>
        <v>4</v>
      </c>
      <c r="P15" s="39"/>
      <c r="Q15">
        <v>4</v>
      </c>
      <c r="R15" s="616"/>
      <c r="S15" s="263" t="s">
        <v>150</v>
      </c>
      <c r="T15" s="262">
        <f t="shared" si="4"/>
        <v>120</v>
      </c>
      <c r="U15" s="195">
        <v>2.85</v>
      </c>
      <c r="V15" s="261">
        <v>310</v>
      </c>
      <c r="W15" s="107">
        <f t="shared" si="5"/>
        <v>106020</v>
      </c>
      <c r="X15" s="621"/>
      <c r="Y15" s="590"/>
      <c r="Z15" s="590"/>
      <c r="AA15" s="590"/>
      <c r="AB15" s="582"/>
      <c r="AC15" s="582"/>
      <c r="AD15" s="262">
        <v>11</v>
      </c>
      <c r="AE15" s="27">
        <f t="shared" si="6"/>
        <v>7</v>
      </c>
      <c r="AF15" s="27">
        <f t="shared" si="7"/>
        <v>4</v>
      </c>
    </row>
    <row r="16" spans="1:32">
      <c r="A16" s="616"/>
      <c r="B16" s="253" t="s">
        <v>95</v>
      </c>
      <c r="C16" s="262">
        <f t="shared" si="0"/>
        <v>196</v>
      </c>
      <c r="D16" s="195">
        <v>2.85</v>
      </c>
      <c r="E16" s="252">
        <v>310</v>
      </c>
      <c r="F16" s="107">
        <f t="shared" si="1"/>
        <v>173166</v>
      </c>
      <c r="G16" s="621"/>
      <c r="H16" s="590"/>
      <c r="I16" s="590"/>
      <c r="J16" s="590"/>
      <c r="K16" s="582"/>
      <c r="L16" s="582"/>
      <c r="M16" s="254">
        <v>10</v>
      </c>
      <c r="N16" s="27">
        <f t="shared" si="2"/>
        <v>7</v>
      </c>
      <c r="O16" s="27">
        <f t="shared" si="3"/>
        <v>3</v>
      </c>
      <c r="P16" s="39"/>
      <c r="Q16">
        <v>3</v>
      </c>
      <c r="R16" s="616"/>
      <c r="S16" s="263" t="s">
        <v>95</v>
      </c>
      <c r="T16" s="262">
        <f t="shared" si="4"/>
        <v>90</v>
      </c>
      <c r="U16" s="195">
        <v>2.85</v>
      </c>
      <c r="V16" s="261">
        <v>310</v>
      </c>
      <c r="W16" s="107">
        <f t="shared" si="5"/>
        <v>79515</v>
      </c>
      <c r="X16" s="621"/>
      <c r="Y16" s="590"/>
      <c r="Z16" s="590"/>
      <c r="AA16" s="590"/>
      <c r="AB16" s="582"/>
      <c r="AC16" s="582"/>
      <c r="AD16" s="262">
        <v>10</v>
      </c>
      <c r="AE16" s="27">
        <f t="shared" si="6"/>
        <v>7</v>
      </c>
      <c r="AF16" s="27">
        <f t="shared" si="7"/>
        <v>3</v>
      </c>
    </row>
    <row r="17" spans="1:32">
      <c r="A17" s="616"/>
      <c r="B17" s="253" t="s">
        <v>96</v>
      </c>
      <c r="C17" s="262">
        <f t="shared" si="0"/>
        <v>181</v>
      </c>
      <c r="D17" s="195">
        <v>2.5499999999999998</v>
      </c>
      <c r="E17" s="252">
        <v>310</v>
      </c>
      <c r="F17" s="107">
        <f t="shared" si="1"/>
        <v>143080.5</v>
      </c>
      <c r="G17" s="621"/>
      <c r="H17" s="590"/>
      <c r="I17" s="590"/>
      <c r="J17" s="590"/>
      <c r="K17" s="582"/>
      <c r="L17" s="582"/>
      <c r="M17" s="254">
        <v>10</v>
      </c>
      <c r="N17" s="27">
        <f t="shared" si="2"/>
        <v>6</v>
      </c>
      <c r="O17" s="27">
        <f t="shared" si="3"/>
        <v>4</v>
      </c>
      <c r="P17" s="39"/>
      <c r="Q17">
        <v>4</v>
      </c>
      <c r="R17" s="616"/>
      <c r="S17" s="263" t="s">
        <v>96</v>
      </c>
      <c r="T17" s="262">
        <f t="shared" si="4"/>
        <v>120</v>
      </c>
      <c r="U17" s="195">
        <v>2.5499999999999998</v>
      </c>
      <c r="V17" s="261">
        <v>310</v>
      </c>
      <c r="W17" s="107">
        <f t="shared" si="5"/>
        <v>94860</v>
      </c>
      <c r="X17" s="621"/>
      <c r="Y17" s="590"/>
      <c r="Z17" s="590"/>
      <c r="AA17" s="590"/>
      <c r="AB17" s="582"/>
      <c r="AC17" s="582"/>
      <c r="AD17" s="262">
        <v>10</v>
      </c>
      <c r="AE17" s="27">
        <f t="shared" si="6"/>
        <v>6</v>
      </c>
      <c r="AF17" s="27">
        <f t="shared" si="7"/>
        <v>4</v>
      </c>
    </row>
    <row r="18" spans="1:32" ht="15" customHeight="1">
      <c r="A18" s="616" t="s">
        <v>293</v>
      </c>
      <c r="B18" s="253" t="s">
        <v>94</v>
      </c>
      <c r="C18" s="262">
        <f t="shared" si="0"/>
        <v>495</v>
      </c>
      <c r="D18" s="195">
        <v>1.75</v>
      </c>
      <c r="E18" s="252">
        <v>310</v>
      </c>
      <c r="F18" s="107">
        <f t="shared" si="1"/>
        <v>268537.5</v>
      </c>
      <c r="G18" s="621">
        <v>1211</v>
      </c>
      <c r="H18" s="590">
        <v>1532</v>
      </c>
      <c r="I18" s="590">
        <v>620</v>
      </c>
      <c r="J18" s="590">
        <f>G18/H18*SUM(C18:C20)*I18</f>
        <v>471467.91122715408</v>
      </c>
      <c r="K18" s="582">
        <f>J18+SUM(F18:F20)</f>
        <v>997847.91122715408</v>
      </c>
      <c r="L18" s="582">
        <f>K18/SUM(C18:C20)</f>
        <v>1037.2639409845676</v>
      </c>
      <c r="M18" s="254">
        <v>28</v>
      </c>
      <c r="N18" s="27">
        <f t="shared" si="2"/>
        <v>17</v>
      </c>
      <c r="O18" s="27">
        <f t="shared" si="3"/>
        <v>11</v>
      </c>
      <c r="P18" s="39"/>
      <c r="Q18">
        <v>11</v>
      </c>
      <c r="R18" s="616" t="s">
        <v>293</v>
      </c>
      <c r="S18" s="263" t="s">
        <v>94</v>
      </c>
      <c r="T18" s="262">
        <f t="shared" si="4"/>
        <v>330</v>
      </c>
      <c r="U18" s="195">
        <v>1.75</v>
      </c>
      <c r="V18" s="261">
        <v>310</v>
      </c>
      <c r="W18" s="107">
        <f t="shared" si="5"/>
        <v>179025</v>
      </c>
      <c r="X18" s="621">
        <v>1211</v>
      </c>
      <c r="Y18" s="590">
        <v>1532</v>
      </c>
      <c r="Z18" s="590">
        <v>620</v>
      </c>
      <c r="AA18" s="590">
        <f>X18/Y18*SUM(T18:T20)*Z18</f>
        <v>279352.08877284598</v>
      </c>
      <c r="AB18" s="582">
        <f>AA18+SUM(W18:W20)</f>
        <v>590437.08877284592</v>
      </c>
      <c r="AC18" s="582">
        <f>AB18/SUM(T18:T20)</f>
        <v>1035.8545417067473</v>
      </c>
      <c r="AD18" s="262">
        <v>28</v>
      </c>
      <c r="AE18" s="27">
        <f t="shared" si="6"/>
        <v>17</v>
      </c>
      <c r="AF18" s="27">
        <f t="shared" si="7"/>
        <v>11</v>
      </c>
    </row>
    <row r="19" spans="1:32">
      <c r="A19" s="616"/>
      <c r="B19" s="253" t="s">
        <v>96</v>
      </c>
      <c r="C19" s="262">
        <f t="shared" si="0"/>
        <v>322</v>
      </c>
      <c r="D19" s="195">
        <v>1.75</v>
      </c>
      <c r="E19" s="252">
        <v>310</v>
      </c>
      <c r="F19" s="107">
        <f t="shared" si="1"/>
        <v>174685</v>
      </c>
      <c r="G19" s="621"/>
      <c r="H19" s="590"/>
      <c r="I19" s="590"/>
      <c r="J19" s="590"/>
      <c r="K19" s="582"/>
      <c r="L19" s="582"/>
      <c r="M19" s="254">
        <v>17</v>
      </c>
      <c r="N19" s="27">
        <f t="shared" si="2"/>
        <v>11</v>
      </c>
      <c r="O19" s="27">
        <f t="shared" si="3"/>
        <v>6</v>
      </c>
      <c r="P19" s="39"/>
      <c r="Q19">
        <v>6</v>
      </c>
      <c r="R19" s="616"/>
      <c r="S19" s="263" t="s">
        <v>96</v>
      </c>
      <c r="T19" s="262">
        <f t="shared" si="4"/>
        <v>180</v>
      </c>
      <c r="U19" s="195">
        <v>1.75</v>
      </c>
      <c r="V19" s="261">
        <v>310</v>
      </c>
      <c r="W19" s="107">
        <f t="shared" si="5"/>
        <v>97650</v>
      </c>
      <c r="X19" s="621"/>
      <c r="Y19" s="590"/>
      <c r="Z19" s="590"/>
      <c r="AA19" s="590"/>
      <c r="AB19" s="582"/>
      <c r="AC19" s="582"/>
      <c r="AD19" s="262">
        <v>17</v>
      </c>
      <c r="AE19" s="27">
        <f t="shared" si="6"/>
        <v>11</v>
      </c>
      <c r="AF19" s="27">
        <f t="shared" si="7"/>
        <v>6</v>
      </c>
    </row>
    <row r="20" spans="1:32" ht="15" customHeight="1">
      <c r="A20" s="616"/>
      <c r="B20" s="253" t="s">
        <v>95</v>
      </c>
      <c r="C20" s="262">
        <f t="shared" si="0"/>
        <v>145</v>
      </c>
      <c r="D20" s="195">
        <v>1.85</v>
      </c>
      <c r="E20" s="252">
        <v>310</v>
      </c>
      <c r="F20" s="107">
        <f t="shared" si="1"/>
        <v>83157.5</v>
      </c>
      <c r="G20" s="621"/>
      <c r="H20" s="590"/>
      <c r="I20" s="590"/>
      <c r="J20" s="590"/>
      <c r="K20" s="582"/>
      <c r="L20" s="582"/>
      <c r="M20" s="254">
        <v>7</v>
      </c>
      <c r="N20" s="27">
        <f t="shared" si="2"/>
        <v>5</v>
      </c>
      <c r="O20" s="27">
        <f t="shared" si="3"/>
        <v>2</v>
      </c>
      <c r="P20" s="39"/>
      <c r="Q20">
        <v>2</v>
      </c>
      <c r="R20" s="616"/>
      <c r="S20" s="263" t="s">
        <v>95</v>
      </c>
      <c r="T20" s="262">
        <f t="shared" si="4"/>
        <v>60</v>
      </c>
      <c r="U20" s="195">
        <v>1.85</v>
      </c>
      <c r="V20" s="261">
        <v>310</v>
      </c>
      <c r="W20" s="107">
        <f t="shared" si="5"/>
        <v>34410</v>
      </c>
      <c r="X20" s="621"/>
      <c r="Y20" s="590"/>
      <c r="Z20" s="590"/>
      <c r="AA20" s="590"/>
      <c r="AB20" s="582"/>
      <c r="AC20" s="582"/>
      <c r="AD20" s="262">
        <v>7</v>
      </c>
      <c r="AE20" s="27">
        <f t="shared" si="6"/>
        <v>5</v>
      </c>
      <c r="AF20" s="27">
        <f t="shared" si="7"/>
        <v>2</v>
      </c>
    </row>
    <row r="21" spans="1:32">
      <c r="A21" s="616" t="s">
        <v>263</v>
      </c>
      <c r="B21" s="253" t="s">
        <v>96</v>
      </c>
      <c r="C21" s="262">
        <f t="shared" si="0"/>
        <v>224</v>
      </c>
      <c r="D21" s="195">
        <v>2.7</v>
      </c>
      <c r="E21" s="252">
        <v>310</v>
      </c>
      <c r="F21" s="107">
        <f t="shared" si="1"/>
        <v>187488.00000000003</v>
      </c>
      <c r="G21" s="624">
        <v>922</v>
      </c>
      <c r="H21" s="590">
        <v>1730</v>
      </c>
      <c r="I21" s="590">
        <v>620</v>
      </c>
      <c r="J21" s="590">
        <f>G21/H21*SUM(C21:C25)*I21</f>
        <v>363470.52023121389</v>
      </c>
      <c r="K21" s="582">
        <f>J21+SUM(F21:F25)</f>
        <v>1365638.5202312139</v>
      </c>
      <c r="L21" s="582">
        <f>K21/SUM(C21:C25)</f>
        <v>1241.489563846558</v>
      </c>
      <c r="M21" s="254">
        <v>11</v>
      </c>
      <c r="N21" s="27">
        <f t="shared" si="2"/>
        <v>7</v>
      </c>
      <c r="O21" s="27">
        <f t="shared" si="3"/>
        <v>4</v>
      </c>
      <c r="P21" s="39"/>
      <c r="Q21">
        <v>4</v>
      </c>
      <c r="R21" s="616" t="s">
        <v>263</v>
      </c>
      <c r="S21" s="263" t="s">
        <v>96</v>
      </c>
      <c r="T21" s="262">
        <f t="shared" si="4"/>
        <v>120</v>
      </c>
      <c r="U21" s="195">
        <v>2.7</v>
      </c>
      <c r="V21" s="261">
        <v>310</v>
      </c>
      <c r="W21" s="107">
        <f t="shared" si="5"/>
        <v>100440</v>
      </c>
      <c r="X21" s="624">
        <v>922</v>
      </c>
      <c r="Y21" s="590">
        <v>1730</v>
      </c>
      <c r="Z21" s="590">
        <v>620</v>
      </c>
      <c r="AA21" s="590">
        <f>X21/Y21*SUM(T21:T25)*Z21</f>
        <v>208169.47976878611</v>
      </c>
      <c r="AB21" s="582">
        <f>AA21+SUM(W21:W25)</f>
        <v>782909.47976878611</v>
      </c>
      <c r="AC21" s="582">
        <f>AB21/SUM(T21:T25)</f>
        <v>1242.7134599504541</v>
      </c>
      <c r="AD21" s="262">
        <v>11</v>
      </c>
      <c r="AE21" s="27">
        <f t="shared" si="6"/>
        <v>7</v>
      </c>
      <c r="AF21" s="27">
        <f t="shared" si="7"/>
        <v>4</v>
      </c>
    </row>
    <row r="22" spans="1:32">
      <c r="A22" s="616"/>
      <c r="B22" s="253" t="s">
        <v>272</v>
      </c>
      <c r="C22" s="262">
        <f t="shared" si="0"/>
        <v>310</v>
      </c>
      <c r="D22" s="195">
        <v>3</v>
      </c>
      <c r="E22" s="252">
        <v>310</v>
      </c>
      <c r="F22" s="107">
        <f t="shared" si="1"/>
        <v>288300</v>
      </c>
      <c r="G22" s="624"/>
      <c r="H22" s="590"/>
      <c r="I22" s="590"/>
      <c r="J22" s="590"/>
      <c r="K22" s="582"/>
      <c r="L22" s="582"/>
      <c r="M22" s="254">
        <v>17</v>
      </c>
      <c r="N22" s="27">
        <f t="shared" si="2"/>
        <v>10</v>
      </c>
      <c r="O22" s="27">
        <f t="shared" si="3"/>
        <v>7</v>
      </c>
      <c r="P22" s="39"/>
      <c r="Q22">
        <v>7</v>
      </c>
      <c r="R22" s="616"/>
      <c r="S22" s="263" t="s">
        <v>272</v>
      </c>
      <c r="T22" s="262">
        <f t="shared" si="4"/>
        <v>210</v>
      </c>
      <c r="U22" s="195">
        <v>3</v>
      </c>
      <c r="V22" s="261">
        <v>310</v>
      </c>
      <c r="W22" s="107">
        <f t="shared" si="5"/>
        <v>195300</v>
      </c>
      <c r="X22" s="624"/>
      <c r="Y22" s="590"/>
      <c r="Z22" s="590"/>
      <c r="AA22" s="590"/>
      <c r="AB22" s="582"/>
      <c r="AC22" s="582"/>
      <c r="AD22" s="262">
        <v>17</v>
      </c>
      <c r="AE22" s="27">
        <f t="shared" si="6"/>
        <v>10</v>
      </c>
      <c r="AF22" s="27">
        <f t="shared" si="7"/>
        <v>7</v>
      </c>
    </row>
    <row r="23" spans="1:32">
      <c r="A23" s="616"/>
      <c r="B23" s="253" t="s">
        <v>95</v>
      </c>
      <c r="C23" s="262">
        <f t="shared" si="0"/>
        <v>209</v>
      </c>
      <c r="D23" s="195">
        <v>3</v>
      </c>
      <c r="E23" s="252">
        <v>310</v>
      </c>
      <c r="F23" s="107">
        <f t="shared" si="1"/>
        <v>194370</v>
      </c>
      <c r="G23" s="624"/>
      <c r="H23" s="590"/>
      <c r="I23" s="590"/>
      <c r="J23" s="590"/>
      <c r="K23" s="582"/>
      <c r="L23" s="582"/>
      <c r="M23" s="254">
        <v>11</v>
      </c>
      <c r="N23" s="27">
        <f t="shared" si="2"/>
        <v>7</v>
      </c>
      <c r="O23" s="27">
        <f t="shared" si="3"/>
        <v>4</v>
      </c>
      <c r="P23" s="39"/>
      <c r="Q23">
        <v>4</v>
      </c>
      <c r="R23" s="616"/>
      <c r="S23" s="263" t="s">
        <v>95</v>
      </c>
      <c r="T23" s="262">
        <f t="shared" si="4"/>
        <v>120</v>
      </c>
      <c r="U23" s="195">
        <v>3</v>
      </c>
      <c r="V23" s="261">
        <v>310</v>
      </c>
      <c r="W23" s="107">
        <f t="shared" si="5"/>
        <v>111600</v>
      </c>
      <c r="X23" s="624"/>
      <c r="Y23" s="590"/>
      <c r="Z23" s="590"/>
      <c r="AA23" s="590"/>
      <c r="AB23" s="582"/>
      <c r="AC23" s="582"/>
      <c r="AD23" s="262">
        <v>11</v>
      </c>
      <c r="AE23" s="27">
        <f t="shared" si="6"/>
        <v>7</v>
      </c>
      <c r="AF23" s="27">
        <f t="shared" si="7"/>
        <v>4</v>
      </c>
    </row>
    <row r="24" spans="1:32">
      <c r="A24" s="616"/>
      <c r="B24" s="253" t="s">
        <v>270</v>
      </c>
      <c r="C24" s="262">
        <f t="shared" si="0"/>
        <v>181</v>
      </c>
      <c r="D24" s="195">
        <v>3</v>
      </c>
      <c r="E24" s="252">
        <v>310</v>
      </c>
      <c r="F24" s="107">
        <f t="shared" si="1"/>
        <v>168330</v>
      </c>
      <c r="G24" s="624"/>
      <c r="H24" s="590"/>
      <c r="I24" s="590"/>
      <c r="J24" s="590"/>
      <c r="K24" s="582"/>
      <c r="L24" s="582"/>
      <c r="M24" s="254">
        <v>9</v>
      </c>
      <c r="N24" s="27">
        <f t="shared" si="2"/>
        <v>6</v>
      </c>
      <c r="O24" s="27">
        <f t="shared" si="3"/>
        <v>3</v>
      </c>
      <c r="P24" s="39"/>
      <c r="Q24">
        <v>3</v>
      </c>
      <c r="R24" s="616"/>
      <c r="S24" s="263" t="s">
        <v>270</v>
      </c>
      <c r="T24" s="262">
        <f t="shared" si="4"/>
        <v>90</v>
      </c>
      <c r="U24" s="195">
        <v>3</v>
      </c>
      <c r="V24" s="261">
        <v>310</v>
      </c>
      <c r="W24" s="107">
        <f t="shared" si="5"/>
        <v>83700</v>
      </c>
      <c r="X24" s="624"/>
      <c r="Y24" s="590"/>
      <c r="Z24" s="590"/>
      <c r="AA24" s="590"/>
      <c r="AB24" s="582"/>
      <c r="AC24" s="582"/>
      <c r="AD24" s="262">
        <v>9</v>
      </c>
      <c r="AE24" s="27">
        <f t="shared" si="6"/>
        <v>6</v>
      </c>
      <c r="AF24" s="27">
        <f t="shared" si="7"/>
        <v>3</v>
      </c>
    </row>
    <row r="25" spans="1:32" ht="15" customHeight="1">
      <c r="A25" s="616"/>
      <c r="B25" s="253" t="s">
        <v>97</v>
      </c>
      <c r="C25" s="262">
        <f t="shared" si="0"/>
        <v>176</v>
      </c>
      <c r="D25" s="195">
        <v>3</v>
      </c>
      <c r="E25" s="252">
        <v>310</v>
      </c>
      <c r="F25" s="107">
        <f t="shared" si="1"/>
        <v>163680</v>
      </c>
      <c r="G25" s="624"/>
      <c r="H25" s="590"/>
      <c r="I25" s="590"/>
      <c r="J25" s="590"/>
      <c r="K25" s="582"/>
      <c r="L25" s="582"/>
      <c r="M25" s="254">
        <v>9</v>
      </c>
      <c r="N25" s="27">
        <f t="shared" si="2"/>
        <v>6</v>
      </c>
      <c r="O25" s="27">
        <f t="shared" si="3"/>
        <v>3</v>
      </c>
      <c r="P25" s="39"/>
      <c r="Q25">
        <v>3</v>
      </c>
      <c r="R25" s="616"/>
      <c r="S25" s="263" t="s">
        <v>97</v>
      </c>
      <c r="T25" s="262">
        <f t="shared" si="4"/>
        <v>90</v>
      </c>
      <c r="U25" s="195">
        <v>3</v>
      </c>
      <c r="V25" s="261">
        <v>310</v>
      </c>
      <c r="W25" s="107">
        <f t="shared" si="5"/>
        <v>83700</v>
      </c>
      <c r="X25" s="624"/>
      <c r="Y25" s="590"/>
      <c r="Z25" s="590"/>
      <c r="AA25" s="590"/>
      <c r="AB25" s="582"/>
      <c r="AC25" s="582"/>
      <c r="AD25" s="262">
        <v>9</v>
      </c>
      <c r="AE25" s="27">
        <f t="shared" si="6"/>
        <v>6</v>
      </c>
      <c r="AF25" s="27">
        <f t="shared" si="7"/>
        <v>3</v>
      </c>
    </row>
    <row r="26" spans="1:32">
      <c r="A26" s="624">
        <v>23400</v>
      </c>
      <c r="B26" s="253" t="s">
        <v>102</v>
      </c>
      <c r="C26" s="262">
        <f t="shared" si="0"/>
        <v>358</v>
      </c>
      <c r="D26" s="195">
        <v>1.45</v>
      </c>
      <c r="E26" s="252">
        <v>310</v>
      </c>
      <c r="F26" s="107">
        <f t="shared" si="1"/>
        <v>160921</v>
      </c>
      <c r="G26" s="624">
        <v>1778</v>
      </c>
      <c r="H26" s="590">
        <v>3265</v>
      </c>
      <c r="I26" s="590">
        <v>620</v>
      </c>
      <c r="J26" s="590">
        <f>G26/H26*SUM(C26:C31)*I26</f>
        <v>676946.95252679952</v>
      </c>
      <c r="K26" s="582">
        <f>J26+SUM(F26:F31)</f>
        <v>1578194.4525267994</v>
      </c>
      <c r="L26" s="582">
        <f>K26/SUM(C26:C31)</f>
        <v>787.1294027565084</v>
      </c>
      <c r="M26" s="254">
        <v>19</v>
      </c>
      <c r="N26" s="27">
        <f t="shared" si="2"/>
        <v>12</v>
      </c>
      <c r="O26" s="27">
        <f t="shared" si="3"/>
        <v>7</v>
      </c>
      <c r="P26" s="39"/>
      <c r="Q26">
        <v>7</v>
      </c>
      <c r="R26" s="624">
        <v>23400</v>
      </c>
      <c r="S26" s="263" t="s">
        <v>102</v>
      </c>
      <c r="T26" s="262">
        <f t="shared" si="4"/>
        <v>210</v>
      </c>
      <c r="U26" s="195">
        <v>1.45</v>
      </c>
      <c r="V26" s="261">
        <v>310</v>
      </c>
      <c r="W26" s="107">
        <f t="shared" si="5"/>
        <v>94395</v>
      </c>
      <c r="X26" s="624">
        <v>1778</v>
      </c>
      <c r="Y26" s="590">
        <v>3265</v>
      </c>
      <c r="Z26" s="590">
        <v>620</v>
      </c>
      <c r="AA26" s="590">
        <f>X26/Y26*SUM(T26:T31)*Z26</f>
        <v>425413.0474732006</v>
      </c>
      <c r="AB26" s="582">
        <f>AA26+SUM(W26:W31)</f>
        <v>991783.0474732006</v>
      </c>
      <c r="AC26" s="582">
        <f>AB26/SUM(T26:T31)</f>
        <v>787.1294027565084</v>
      </c>
      <c r="AD26" s="262">
        <v>19</v>
      </c>
      <c r="AE26" s="27">
        <f t="shared" si="6"/>
        <v>12</v>
      </c>
      <c r="AF26" s="27">
        <f t="shared" si="7"/>
        <v>7</v>
      </c>
    </row>
    <row r="27" spans="1:32">
      <c r="A27" s="624"/>
      <c r="B27" s="253" t="s">
        <v>300</v>
      </c>
      <c r="C27" s="262">
        <f t="shared" si="0"/>
        <v>303</v>
      </c>
      <c r="D27" s="195">
        <v>1.45</v>
      </c>
      <c r="E27" s="252">
        <v>310</v>
      </c>
      <c r="F27" s="107">
        <f t="shared" si="1"/>
        <v>136198.5</v>
      </c>
      <c r="G27" s="624"/>
      <c r="H27" s="590"/>
      <c r="I27" s="590"/>
      <c r="J27" s="590"/>
      <c r="K27" s="582"/>
      <c r="L27" s="582"/>
      <c r="M27" s="254">
        <v>17</v>
      </c>
      <c r="N27" s="27">
        <f t="shared" si="2"/>
        <v>10</v>
      </c>
      <c r="O27" s="27">
        <f t="shared" si="3"/>
        <v>7</v>
      </c>
      <c r="P27" s="39"/>
      <c r="Q27">
        <v>7</v>
      </c>
      <c r="R27" s="624"/>
      <c r="S27" s="263" t="s">
        <v>300</v>
      </c>
      <c r="T27" s="262">
        <f t="shared" si="4"/>
        <v>210</v>
      </c>
      <c r="U27" s="195">
        <v>1.45</v>
      </c>
      <c r="V27" s="261">
        <v>310</v>
      </c>
      <c r="W27" s="107">
        <f t="shared" si="5"/>
        <v>94395</v>
      </c>
      <c r="X27" s="624"/>
      <c r="Y27" s="590"/>
      <c r="Z27" s="590"/>
      <c r="AA27" s="590"/>
      <c r="AB27" s="582"/>
      <c r="AC27" s="582"/>
      <c r="AD27" s="262">
        <v>17</v>
      </c>
      <c r="AE27" s="27">
        <f t="shared" si="6"/>
        <v>10</v>
      </c>
      <c r="AF27" s="27">
        <f t="shared" si="7"/>
        <v>7</v>
      </c>
    </row>
    <row r="28" spans="1:32">
      <c r="A28" s="624"/>
      <c r="B28" s="253" t="s">
        <v>244</v>
      </c>
      <c r="C28" s="262">
        <f t="shared" si="0"/>
        <v>350</v>
      </c>
      <c r="D28" s="195">
        <v>1.45</v>
      </c>
      <c r="E28" s="252">
        <v>310</v>
      </c>
      <c r="F28" s="107">
        <f t="shared" si="1"/>
        <v>157325</v>
      </c>
      <c r="G28" s="624"/>
      <c r="H28" s="590"/>
      <c r="I28" s="590"/>
      <c r="J28" s="590"/>
      <c r="K28" s="582"/>
      <c r="L28" s="582"/>
      <c r="M28" s="254">
        <v>19</v>
      </c>
      <c r="N28" s="27">
        <f t="shared" si="2"/>
        <v>12</v>
      </c>
      <c r="O28" s="27">
        <f t="shared" si="3"/>
        <v>7</v>
      </c>
      <c r="P28" s="39"/>
      <c r="Q28">
        <v>7</v>
      </c>
      <c r="R28" s="624"/>
      <c r="S28" s="263" t="s">
        <v>244</v>
      </c>
      <c r="T28" s="262">
        <f t="shared" si="4"/>
        <v>210</v>
      </c>
      <c r="U28" s="195">
        <v>1.45</v>
      </c>
      <c r="V28" s="261">
        <v>310</v>
      </c>
      <c r="W28" s="107">
        <f t="shared" si="5"/>
        <v>94395</v>
      </c>
      <c r="X28" s="624"/>
      <c r="Y28" s="590"/>
      <c r="Z28" s="590"/>
      <c r="AA28" s="590"/>
      <c r="AB28" s="582"/>
      <c r="AC28" s="582"/>
      <c r="AD28" s="262">
        <v>19</v>
      </c>
      <c r="AE28" s="27">
        <f t="shared" si="6"/>
        <v>12</v>
      </c>
      <c r="AF28" s="27">
        <f t="shared" si="7"/>
        <v>7</v>
      </c>
    </row>
    <row r="29" spans="1:32">
      <c r="A29" s="624"/>
      <c r="B29" s="253" t="s">
        <v>301</v>
      </c>
      <c r="C29" s="262">
        <f t="shared" si="0"/>
        <v>350</v>
      </c>
      <c r="D29" s="195">
        <v>1.45</v>
      </c>
      <c r="E29" s="252">
        <v>310</v>
      </c>
      <c r="F29" s="107">
        <f t="shared" si="1"/>
        <v>157325</v>
      </c>
      <c r="G29" s="624"/>
      <c r="H29" s="590"/>
      <c r="I29" s="590"/>
      <c r="J29" s="590"/>
      <c r="K29" s="582"/>
      <c r="L29" s="582"/>
      <c r="M29" s="254">
        <v>19</v>
      </c>
      <c r="N29" s="27">
        <f t="shared" si="2"/>
        <v>12</v>
      </c>
      <c r="O29" s="27">
        <f t="shared" si="3"/>
        <v>7</v>
      </c>
      <c r="P29" s="39"/>
      <c r="Q29">
        <v>7</v>
      </c>
      <c r="R29" s="624"/>
      <c r="S29" s="263" t="s">
        <v>301</v>
      </c>
      <c r="T29" s="262">
        <f t="shared" si="4"/>
        <v>210</v>
      </c>
      <c r="U29" s="195">
        <v>1.45</v>
      </c>
      <c r="V29" s="261">
        <v>310</v>
      </c>
      <c r="W29" s="107">
        <f t="shared" si="5"/>
        <v>94395</v>
      </c>
      <c r="X29" s="624"/>
      <c r="Y29" s="590"/>
      <c r="Z29" s="590"/>
      <c r="AA29" s="590"/>
      <c r="AB29" s="582"/>
      <c r="AC29" s="582"/>
      <c r="AD29" s="262">
        <v>19</v>
      </c>
      <c r="AE29" s="27">
        <f t="shared" si="6"/>
        <v>12</v>
      </c>
      <c r="AF29" s="27">
        <f t="shared" si="7"/>
        <v>7</v>
      </c>
    </row>
    <row r="30" spans="1:32">
      <c r="A30" s="624"/>
      <c r="B30" s="253" t="s">
        <v>302</v>
      </c>
      <c r="C30" s="262">
        <f t="shared" si="0"/>
        <v>325</v>
      </c>
      <c r="D30" s="195">
        <v>1.45</v>
      </c>
      <c r="E30" s="252">
        <v>310</v>
      </c>
      <c r="F30" s="107">
        <f t="shared" si="1"/>
        <v>146087.5</v>
      </c>
      <c r="G30" s="624"/>
      <c r="H30" s="590"/>
      <c r="I30" s="590"/>
      <c r="J30" s="590"/>
      <c r="K30" s="582"/>
      <c r="L30" s="582"/>
      <c r="M30" s="254">
        <v>18</v>
      </c>
      <c r="N30" s="27">
        <f t="shared" si="2"/>
        <v>11</v>
      </c>
      <c r="O30" s="27">
        <f t="shared" si="3"/>
        <v>7</v>
      </c>
      <c r="P30" s="39"/>
      <c r="Q30">
        <v>7</v>
      </c>
      <c r="R30" s="624"/>
      <c r="S30" s="263" t="s">
        <v>302</v>
      </c>
      <c r="T30" s="262">
        <f t="shared" si="4"/>
        <v>210</v>
      </c>
      <c r="U30" s="195">
        <v>1.45</v>
      </c>
      <c r="V30" s="261">
        <v>310</v>
      </c>
      <c r="W30" s="107">
        <f t="shared" si="5"/>
        <v>94395</v>
      </c>
      <c r="X30" s="624"/>
      <c r="Y30" s="590"/>
      <c r="Z30" s="590"/>
      <c r="AA30" s="590"/>
      <c r="AB30" s="582"/>
      <c r="AC30" s="582"/>
      <c r="AD30" s="262">
        <v>18</v>
      </c>
      <c r="AE30" s="27">
        <f t="shared" si="6"/>
        <v>11</v>
      </c>
      <c r="AF30" s="27">
        <f t="shared" si="7"/>
        <v>7</v>
      </c>
    </row>
    <row r="31" spans="1:32">
      <c r="A31" s="624"/>
      <c r="B31" s="253" t="s">
        <v>151</v>
      </c>
      <c r="C31" s="262">
        <f t="shared" si="0"/>
        <v>319</v>
      </c>
      <c r="D31" s="195">
        <v>1.45</v>
      </c>
      <c r="E31" s="252">
        <v>310</v>
      </c>
      <c r="F31" s="107">
        <f t="shared" si="1"/>
        <v>143390.5</v>
      </c>
      <c r="G31" s="624"/>
      <c r="H31" s="590"/>
      <c r="I31" s="590"/>
      <c r="J31" s="590"/>
      <c r="K31" s="582"/>
      <c r="L31" s="582"/>
      <c r="M31" s="254">
        <v>18</v>
      </c>
      <c r="N31" s="27">
        <f t="shared" si="2"/>
        <v>11</v>
      </c>
      <c r="O31" s="27">
        <f t="shared" si="3"/>
        <v>7</v>
      </c>
      <c r="P31" s="39"/>
      <c r="Q31">
        <v>7</v>
      </c>
      <c r="R31" s="624"/>
      <c r="S31" s="263" t="s">
        <v>151</v>
      </c>
      <c r="T31" s="262">
        <f t="shared" si="4"/>
        <v>210</v>
      </c>
      <c r="U31" s="195">
        <v>1.45</v>
      </c>
      <c r="V31" s="261">
        <v>310</v>
      </c>
      <c r="W31" s="107">
        <f t="shared" si="5"/>
        <v>94395</v>
      </c>
      <c r="X31" s="624"/>
      <c r="Y31" s="590"/>
      <c r="Z31" s="590"/>
      <c r="AA31" s="590"/>
      <c r="AB31" s="582"/>
      <c r="AC31" s="582"/>
      <c r="AD31" s="262">
        <v>18</v>
      </c>
      <c r="AE31" s="27">
        <f t="shared" si="6"/>
        <v>11</v>
      </c>
      <c r="AF31" s="27">
        <f t="shared" si="7"/>
        <v>7</v>
      </c>
    </row>
    <row r="32" spans="1:32">
      <c r="A32" s="624" t="s">
        <v>294</v>
      </c>
      <c r="B32" s="253" t="s">
        <v>114</v>
      </c>
      <c r="C32" s="262">
        <f t="shared" si="0"/>
        <v>589</v>
      </c>
      <c r="D32" s="195">
        <v>1.1599999999999999</v>
      </c>
      <c r="E32" s="252">
        <v>310</v>
      </c>
      <c r="F32" s="107">
        <f t="shared" si="1"/>
        <v>211804.4</v>
      </c>
      <c r="G32" s="621">
        <v>5320</v>
      </c>
      <c r="H32" s="590">
        <v>12472</v>
      </c>
      <c r="I32" s="590">
        <v>620</v>
      </c>
      <c r="J32" s="590">
        <f>G32/H32*SUM(C32:C43)*I32</f>
        <v>2013103.0147530469</v>
      </c>
      <c r="K32" s="582">
        <f>J32+SUM(F32:F43)</f>
        <v>4786009.614753047</v>
      </c>
      <c r="L32" s="582">
        <f>K32/SUM(C32:C43)</f>
        <v>628.74535138636986</v>
      </c>
      <c r="M32" s="254">
        <v>33</v>
      </c>
      <c r="N32" s="27">
        <f t="shared" si="2"/>
        <v>20</v>
      </c>
      <c r="O32" s="27">
        <f t="shared" si="3"/>
        <v>13</v>
      </c>
      <c r="P32" s="39"/>
      <c r="Q32">
        <v>13</v>
      </c>
      <c r="R32" s="624" t="s">
        <v>294</v>
      </c>
      <c r="S32" s="263" t="s">
        <v>114</v>
      </c>
      <c r="T32" s="262">
        <f t="shared" si="4"/>
        <v>390</v>
      </c>
      <c r="U32" s="195">
        <v>1.1599999999999999</v>
      </c>
      <c r="V32" s="261">
        <v>310</v>
      </c>
      <c r="W32" s="107">
        <f t="shared" si="5"/>
        <v>140244</v>
      </c>
      <c r="X32" s="621">
        <v>5320</v>
      </c>
      <c r="Y32" s="590">
        <v>12472</v>
      </c>
      <c r="Z32" s="590">
        <v>620</v>
      </c>
      <c r="AA32" s="590">
        <f>X32/Y32*SUM(T32:T43)*Z32</f>
        <v>1285296.9852469531</v>
      </c>
      <c r="AB32" s="582">
        <f>AA32+SUM(W32:W43)</f>
        <v>3055086.9852469531</v>
      </c>
      <c r="AC32" s="582">
        <f>AB32/SUM(T32:T43)</f>
        <v>628.61872124422905</v>
      </c>
      <c r="AD32" s="262">
        <v>33</v>
      </c>
      <c r="AE32" s="27">
        <f t="shared" si="6"/>
        <v>20</v>
      </c>
      <c r="AF32" s="27">
        <f t="shared" si="7"/>
        <v>13</v>
      </c>
    </row>
    <row r="33" spans="1:32">
      <c r="A33" s="624"/>
      <c r="B33" s="253" t="s">
        <v>303</v>
      </c>
      <c r="C33" s="262">
        <f t="shared" si="0"/>
        <v>502</v>
      </c>
      <c r="D33" s="195">
        <v>1.23</v>
      </c>
      <c r="E33" s="252">
        <v>310</v>
      </c>
      <c r="F33" s="107">
        <f t="shared" si="1"/>
        <v>191412.6</v>
      </c>
      <c r="G33" s="621"/>
      <c r="H33" s="590"/>
      <c r="I33" s="590"/>
      <c r="J33" s="590"/>
      <c r="K33" s="582"/>
      <c r="L33" s="582"/>
      <c r="M33" s="254">
        <v>28</v>
      </c>
      <c r="N33" s="27">
        <f t="shared" si="2"/>
        <v>17</v>
      </c>
      <c r="O33" s="27">
        <f t="shared" si="3"/>
        <v>11</v>
      </c>
      <c r="P33" s="39"/>
      <c r="Q33">
        <v>11</v>
      </c>
      <c r="R33" s="624"/>
      <c r="S33" s="263" t="s">
        <v>303</v>
      </c>
      <c r="T33" s="262">
        <f t="shared" si="4"/>
        <v>330</v>
      </c>
      <c r="U33" s="195">
        <v>1.23</v>
      </c>
      <c r="V33" s="261">
        <v>310</v>
      </c>
      <c r="W33" s="107">
        <f t="shared" si="5"/>
        <v>125829</v>
      </c>
      <c r="X33" s="621"/>
      <c r="Y33" s="590"/>
      <c r="Z33" s="590"/>
      <c r="AA33" s="590"/>
      <c r="AB33" s="582"/>
      <c r="AC33" s="582"/>
      <c r="AD33" s="262">
        <v>28</v>
      </c>
      <c r="AE33" s="27">
        <f t="shared" si="6"/>
        <v>17</v>
      </c>
      <c r="AF33" s="27">
        <f t="shared" si="7"/>
        <v>11</v>
      </c>
    </row>
    <row r="34" spans="1:32">
      <c r="A34" s="624"/>
      <c r="B34" s="253" t="s">
        <v>304</v>
      </c>
      <c r="C34" s="262">
        <f t="shared" si="0"/>
        <v>360</v>
      </c>
      <c r="D34" s="195">
        <v>1.23</v>
      </c>
      <c r="E34" s="252">
        <v>310</v>
      </c>
      <c r="F34" s="107">
        <f t="shared" si="1"/>
        <v>137268</v>
      </c>
      <c r="G34" s="621"/>
      <c r="H34" s="590"/>
      <c r="I34" s="590"/>
      <c r="J34" s="590"/>
      <c r="K34" s="582"/>
      <c r="L34" s="582"/>
      <c r="M34" s="254">
        <v>19</v>
      </c>
      <c r="N34" s="27">
        <f t="shared" si="2"/>
        <v>12</v>
      </c>
      <c r="O34" s="27">
        <f t="shared" si="3"/>
        <v>7</v>
      </c>
      <c r="P34" s="39"/>
      <c r="Q34">
        <v>7</v>
      </c>
      <c r="R34" s="624"/>
      <c r="S34" s="263" t="s">
        <v>304</v>
      </c>
      <c r="T34" s="262">
        <f t="shared" si="4"/>
        <v>210</v>
      </c>
      <c r="U34" s="195">
        <v>1.23</v>
      </c>
      <c r="V34" s="261">
        <v>310</v>
      </c>
      <c r="W34" s="107">
        <f t="shared" si="5"/>
        <v>80073</v>
      </c>
      <c r="X34" s="621"/>
      <c r="Y34" s="590"/>
      <c r="Z34" s="590"/>
      <c r="AA34" s="590"/>
      <c r="AB34" s="582"/>
      <c r="AC34" s="582"/>
      <c r="AD34" s="262">
        <v>19</v>
      </c>
      <c r="AE34" s="27">
        <f t="shared" si="6"/>
        <v>12</v>
      </c>
      <c r="AF34" s="27">
        <f t="shared" si="7"/>
        <v>7</v>
      </c>
    </row>
    <row r="35" spans="1:32" ht="15" customHeight="1">
      <c r="A35" s="624"/>
      <c r="B35" s="253" t="s">
        <v>305</v>
      </c>
      <c r="C35" s="262">
        <f t="shared" si="0"/>
        <v>409</v>
      </c>
      <c r="D35" s="195">
        <v>1.23</v>
      </c>
      <c r="E35" s="252">
        <v>310</v>
      </c>
      <c r="F35" s="107">
        <f t="shared" si="1"/>
        <v>155951.70000000001</v>
      </c>
      <c r="G35" s="621"/>
      <c r="H35" s="590"/>
      <c r="I35" s="590"/>
      <c r="J35" s="590"/>
      <c r="K35" s="582"/>
      <c r="L35" s="582"/>
      <c r="M35" s="254">
        <v>22</v>
      </c>
      <c r="N35" s="27">
        <f t="shared" si="2"/>
        <v>14</v>
      </c>
      <c r="O35" s="27">
        <f t="shared" si="3"/>
        <v>8</v>
      </c>
      <c r="P35" s="39"/>
      <c r="Q35">
        <v>8</v>
      </c>
      <c r="R35" s="624"/>
      <c r="S35" s="263" t="s">
        <v>305</v>
      </c>
      <c r="T35" s="262">
        <f t="shared" si="4"/>
        <v>240</v>
      </c>
      <c r="U35" s="195">
        <v>1.23</v>
      </c>
      <c r="V35" s="261">
        <v>310</v>
      </c>
      <c r="W35" s="107">
        <f t="shared" si="5"/>
        <v>91512</v>
      </c>
      <c r="X35" s="621"/>
      <c r="Y35" s="590"/>
      <c r="Z35" s="590"/>
      <c r="AA35" s="590"/>
      <c r="AB35" s="582"/>
      <c r="AC35" s="582"/>
      <c r="AD35" s="262">
        <v>22</v>
      </c>
      <c r="AE35" s="27">
        <f t="shared" si="6"/>
        <v>14</v>
      </c>
      <c r="AF35" s="27">
        <f t="shared" si="7"/>
        <v>8</v>
      </c>
    </row>
    <row r="36" spans="1:32">
      <c r="A36" s="624"/>
      <c r="B36" s="253" t="s">
        <v>306</v>
      </c>
      <c r="C36" s="262">
        <f t="shared" si="0"/>
        <v>371</v>
      </c>
      <c r="D36" s="195">
        <v>1.23</v>
      </c>
      <c r="E36" s="252">
        <v>310</v>
      </c>
      <c r="F36" s="107">
        <f t="shared" si="1"/>
        <v>141462.29999999999</v>
      </c>
      <c r="G36" s="621"/>
      <c r="H36" s="590"/>
      <c r="I36" s="590"/>
      <c r="J36" s="590"/>
      <c r="K36" s="582"/>
      <c r="L36" s="582"/>
      <c r="M36" s="254">
        <v>20</v>
      </c>
      <c r="N36" s="27">
        <f t="shared" si="2"/>
        <v>12</v>
      </c>
      <c r="O36" s="27">
        <f t="shared" si="3"/>
        <v>8</v>
      </c>
      <c r="P36" s="39"/>
      <c r="Q36">
        <v>8</v>
      </c>
      <c r="R36" s="624"/>
      <c r="S36" s="263" t="s">
        <v>306</v>
      </c>
      <c r="T36" s="262">
        <f t="shared" si="4"/>
        <v>240</v>
      </c>
      <c r="U36" s="195">
        <v>1.23</v>
      </c>
      <c r="V36" s="261">
        <v>310</v>
      </c>
      <c r="W36" s="107">
        <f t="shared" si="5"/>
        <v>91512</v>
      </c>
      <c r="X36" s="621"/>
      <c r="Y36" s="590"/>
      <c r="Z36" s="590"/>
      <c r="AA36" s="590"/>
      <c r="AB36" s="582"/>
      <c r="AC36" s="582"/>
      <c r="AD36" s="262">
        <v>20</v>
      </c>
      <c r="AE36" s="27">
        <f t="shared" si="6"/>
        <v>12</v>
      </c>
      <c r="AF36" s="27">
        <f t="shared" si="7"/>
        <v>8</v>
      </c>
    </row>
    <row r="37" spans="1:32">
      <c r="A37" s="624"/>
      <c r="B37" s="253" t="s">
        <v>307</v>
      </c>
      <c r="C37" s="262">
        <f t="shared" si="0"/>
        <v>531</v>
      </c>
      <c r="D37" s="195">
        <v>1.1599999999999999</v>
      </c>
      <c r="E37" s="252">
        <v>310</v>
      </c>
      <c r="F37" s="107">
        <f t="shared" si="1"/>
        <v>190947.59999999998</v>
      </c>
      <c r="G37" s="621"/>
      <c r="H37" s="590"/>
      <c r="I37" s="590"/>
      <c r="J37" s="590"/>
      <c r="K37" s="582"/>
      <c r="L37" s="582"/>
      <c r="M37" s="254">
        <v>29</v>
      </c>
      <c r="N37" s="27">
        <f t="shared" si="2"/>
        <v>18</v>
      </c>
      <c r="O37" s="27">
        <f t="shared" si="3"/>
        <v>11</v>
      </c>
      <c r="P37" s="39"/>
      <c r="Q37">
        <v>11</v>
      </c>
      <c r="R37" s="624"/>
      <c r="S37" s="263" t="s">
        <v>307</v>
      </c>
      <c r="T37" s="262">
        <f t="shared" si="4"/>
        <v>330</v>
      </c>
      <c r="U37" s="195">
        <v>1.1599999999999999</v>
      </c>
      <c r="V37" s="261">
        <v>310</v>
      </c>
      <c r="W37" s="107">
        <f t="shared" si="5"/>
        <v>118667.99999999999</v>
      </c>
      <c r="X37" s="621"/>
      <c r="Y37" s="590"/>
      <c r="Z37" s="590"/>
      <c r="AA37" s="590"/>
      <c r="AB37" s="582"/>
      <c r="AC37" s="582"/>
      <c r="AD37" s="262">
        <v>29</v>
      </c>
      <c r="AE37" s="27">
        <f t="shared" si="6"/>
        <v>18</v>
      </c>
      <c r="AF37" s="27">
        <f t="shared" si="7"/>
        <v>11</v>
      </c>
    </row>
    <row r="38" spans="1:32" ht="15" customHeight="1">
      <c r="A38" s="624"/>
      <c r="B38" s="253" t="s">
        <v>151</v>
      </c>
      <c r="C38" s="262">
        <f t="shared" si="0"/>
        <v>372</v>
      </c>
      <c r="D38" s="195">
        <v>1.1599999999999999</v>
      </c>
      <c r="E38" s="252">
        <v>310</v>
      </c>
      <c r="F38" s="107">
        <f t="shared" si="1"/>
        <v>133771.19999999998</v>
      </c>
      <c r="G38" s="621"/>
      <c r="H38" s="590"/>
      <c r="I38" s="590"/>
      <c r="J38" s="590"/>
      <c r="K38" s="582"/>
      <c r="L38" s="582"/>
      <c r="M38" s="254">
        <v>20</v>
      </c>
      <c r="N38" s="27">
        <f t="shared" si="2"/>
        <v>13</v>
      </c>
      <c r="O38" s="27">
        <f t="shared" si="3"/>
        <v>7</v>
      </c>
      <c r="P38" s="39"/>
      <c r="Q38">
        <v>7</v>
      </c>
      <c r="R38" s="624"/>
      <c r="S38" s="263" t="s">
        <v>151</v>
      </c>
      <c r="T38" s="262">
        <f t="shared" si="4"/>
        <v>210</v>
      </c>
      <c r="U38" s="195">
        <v>1.1599999999999999</v>
      </c>
      <c r="V38" s="261">
        <v>310</v>
      </c>
      <c r="W38" s="107">
        <f t="shared" si="5"/>
        <v>75516</v>
      </c>
      <c r="X38" s="621"/>
      <c r="Y38" s="590"/>
      <c r="Z38" s="590"/>
      <c r="AA38" s="590"/>
      <c r="AB38" s="582"/>
      <c r="AC38" s="582"/>
      <c r="AD38" s="262">
        <v>20</v>
      </c>
      <c r="AE38" s="27">
        <f t="shared" si="6"/>
        <v>13</v>
      </c>
      <c r="AF38" s="27">
        <f t="shared" si="7"/>
        <v>7</v>
      </c>
    </row>
    <row r="39" spans="1:32">
      <c r="A39" s="624"/>
      <c r="B39" s="253" t="s">
        <v>283</v>
      </c>
      <c r="C39" s="262">
        <f t="shared" si="0"/>
        <v>322</v>
      </c>
      <c r="D39" s="195">
        <v>1.1599999999999999</v>
      </c>
      <c r="E39" s="252">
        <v>310</v>
      </c>
      <c r="F39" s="107">
        <f t="shared" si="1"/>
        <v>115791.2</v>
      </c>
      <c r="G39" s="621"/>
      <c r="H39" s="590"/>
      <c r="I39" s="590"/>
      <c r="J39" s="590"/>
      <c r="K39" s="582"/>
      <c r="L39" s="582"/>
      <c r="M39" s="254">
        <v>18</v>
      </c>
      <c r="N39" s="27">
        <f t="shared" si="2"/>
        <v>11</v>
      </c>
      <c r="O39" s="27">
        <f t="shared" si="3"/>
        <v>7</v>
      </c>
      <c r="P39" s="39"/>
      <c r="Q39">
        <v>7</v>
      </c>
      <c r="R39" s="624"/>
      <c r="S39" s="263" t="s">
        <v>283</v>
      </c>
      <c r="T39" s="262">
        <f t="shared" si="4"/>
        <v>210</v>
      </c>
      <c r="U39" s="195">
        <v>1.1599999999999999</v>
      </c>
      <c r="V39" s="261">
        <v>310</v>
      </c>
      <c r="W39" s="107">
        <f t="shared" si="5"/>
        <v>75516</v>
      </c>
      <c r="X39" s="621"/>
      <c r="Y39" s="590"/>
      <c r="Z39" s="590"/>
      <c r="AA39" s="590"/>
      <c r="AB39" s="582"/>
      <c r="AC39" s="582"/>
      <c r="AD39" s="262">
        <v>18</v>
      </c>
      <c r="AE39" s="27">
        <f t="shared" si="6"/>
        <v>11</v>
      </c>
      <c r="AF39" s="27">
        <f t="shared" si="7"/>
        <v>7</v>
      </c>
    </row>
    <row r="40" spans="1:32">
      <c r="A40" s="624"/>
      <c r="B40" s="253" t="s">
        <v>95</v>
      </c>
      <c r="C40" s="262">
        <f t="shared" si="0"/>
        <v>853</v>
      </c>
      <c r="D40" s="195">
        <v>1.1599999999999999</v>
      </c>
      <c r="E40" s="252">
        <v>310</v>
      </c>
      <c r="F40" s="107">
        <f t="shared" si="1"/>
        <v>306738.8</v>
      </c>
      <c r="G40" s="621"/>
      <c r="H40" s="590"/>
      <c r="I40" s="590"/>
      <c r="J40" s="590"/>
      <c r="K40" s="582"/>
      <c r="L40" s="582"/>
      <c r="M40" s="254">
        <v>46</v>
      </c>
      <c r="N40" s="27">
        <f t="shared" si="2"/>
        <v>28</v>
      </c>
      <c r="O40" s="27">
        <f t="shared" si="3"/>
        <v>18</v>
      </c>
      <c r="P40" s="39"/>
      <c r="Q40">
        <v>18</v>
      </c>
      <c r="R40" s="624"/>
      <c r="S40" s="263" t="s">
        <v>95</v>
      </c>
      <c r="T40" s="262">
        <f t="shared" si="4"/>
        <v>540</v>
      </c>
      <c r="U40" s="195">
        <v>1.1599999999999999</v>
      </c>
      <c r="V40" s="261">
        <v>310</v>
      </c>
      <c r="W40" s="107">
        <f t="shared" si="5"/>
        <v>194184</v>
      </c>
      <c r="X40" s="621"/>
      <c r="Y40" s="590"/>
      <c r="Z40" s="590"/>
      <c r="AA40" s="590"/>
      <c r="AB40" s="582"/>
      <c r="AC40" s="582"/>
      <c r="AD40" s="262">
        <v>46</v>
      </c>
      <c r="AE40" s="27">
        <f t="shared" si="6"/>
        <v>28</v>
      </c>
      <c r="AF40" s="27">
        <f t="shared" si="7"/>
        <v>18</v>
      </c>
    </row>
    <row r="41" spans="1:32">
      <c r="A41" s="624"/>
      <c r="B41" s="253" t="s">
        <v>101</v>
      </c>
      <c r="C41" s="262">
        <f t="shared" si="0"/>
        <v>1293</v>
      </c>
      <c r="D41" s="195">
        <v>1.1599999999999999</v>
      </c>
      <c r="E41" s="252">
        <v>310</v>
      </c>
      <c r="F41" s="107">
        <f t="shared" si="1"/>
        <v>464962.8</v>
      </c>
      <c r="G41" s="621"/>
      <c r="H41" s="590"/>
      <c r="I41" s="590"/>
      <c r="J41" s="590"/>
      <c r="K41" s="582"/>
      <c r="L41" s="582"/>
      <c r="M41" s="254">
        <v>71</v>
      </c>
      <c r="N41" s="27">
        <f t="shared" si="2"/>
        <v>43</v>
      </c>
      <c r="O41" s="27">
        <f t="shared" si="3"/>
        <v>28</v>
      </c>
      <c r="P41" s="39"/>
      <c r="Q41">
        <v>28</v>
      </c>
      <c r="R41" s="624"/>
      <c r="S41" s="263" t="s">
        <v>101</v>
      </c>
      <c r="T41" s="262">
        <f t="shared" si="4"/>
        <v>840</v>
      </c>
      <c r="U41" s="195">
        <v>1.1599999999999999</v>
      </c>
      <c r="V41" s="261">
        <v>310</v>
      </c>
      <c r="W41" s="107">
        <f t="shared" si="5"/>
        <v>302064</v>
      </c>
      <c r="X41" s="621"/>
      <c r="Y41" s="590"/>
      <c r="Z41" s="590"/>
      <c r="AA41" s="590"/>
      <c r="AB41" s="582"/>
      <c r="AC41" s="582"/>
      <c r="AD41" s="262">
        <v>71</v>
      </c>
      <c r="AE41" s="27">
        <f t="shared" si="6"/>
        <v>43</v>
      </c>
      <c r="AF41" s="27">
        <f t="shared" si="7"/>
        <v>28</v>
      </c>
    </row>
    <row r="42" spans="1:32">
      <c r="A42" s="624"/>
      <c r="B42" s="253" t="s">
        <v>282</v>
      </c>
      <c r="C42" s="262">
        <f t="shared" si="0"/>
        <v>1278</v>
      </c>
      <c r="D42" s="195">
        <v>1.1599999999999999</v>
      </c>
      <c r="E42" s="252">
        <v>310</v>
      </c>
      <c r="F42" s="107">
        <f t="shared" si="1"/>
        <v>459568.79999999993</v>
      </c>
      <c r="G42" s="621"/>
      <c r="H42" s="590"/>
      <c r="I42" s="590"/>
      <c r="J42" s="590"/>
      <c r="K42" s="582"/>
      <c r="L42" s="582"/>
      <c r="M42" s="254">
        <v>71</v>
      </c>
      <c r="N42" s="27">
        <f t="shared" si="2"/>
        <v>43</v>
      </c>
      <c r="O42" s="27">
        <f t="shared" si="3"/>
        <v>28</v>
      </c>
      <c r="P42" s="39"/>
      <c r="Q42">
        <v>28</v>
      </c>
      <c r="R42" s="624"/>
      <c r="S42" s="263" t="s">
        <v>282</v>
      </c>
      <c r="T42" s="262">
        <f t="shared" si="4"/>
        <v>840</v>
      </c>
      <c r="U42" s="195">
        <v>1.1599999999999999</v>
      </c>
      <c r="V42" s="261">
        <v>310</v>
      </c>
      <c r="W42" s="107">
        <f t="shared" si="5"/>
        <v>302064</v>
      </c>
      <c r="X42" s="621"/>
      <c r="Y42" s="590"/>
      <c r="Z42" s="590"/>
      <c r="AA42" s="590"/>
      <c r="AB42" s="582"/>
      <c r="AC42" s="582"/>
      <c r="AD42" s="262">
        <v>71</v>
      </c>
      <c r="AE42" s="27">
        <f t="shared" si="6"/>
        <v>43</v>
      </c>
      <c r="AF42" s="27">
        <f t="shared" si="7"/>
        <v>28</v>
      </c>
    </row>
    <row r="43" spans="1:32">
      <c r="A43" s="624"/>
      <c r="B43" s="253" t="s">
        <v>150</v>
      </c>
      <c r="C43" s="262">
        <f t="shared" si="0"/>
        <v>732</v>
      </c>
      <c r="D43" s="195">
        <v>1.1599999999999999</v>
      </c>
      <c r="E43" s="252">
        <v>310</v>
      </c>
      <c r="F43" s="107">
        <f t="shared" si="1"/>
        <v>263227.19999999995</v>
      </c>
      <c r="G43" s="621"/>
      <c r="H43" s="590"/>
      <c r="I43" s="590"/>
      <c r="J43" s="590"/>
      <c r="K43" s="582"/>
      <c r="L43" s="582"/>
      <c r="M43" s="254">
        <v>40</v>
      </c>
      <c r="N43" s="27">
        <f t="shared" si="2"/>
        <v>24</v>
      </c>
      <c r="O43" s="27">
        <f t="shared" si="3"/>
        <v>16</v>
      </c>
      <c r="P43" s="39"/>
      <c r="Q43">
        <v>16</v>
      </c>
      <c r="R43" s="624"/>
      <c r="S43" s="263" t="s">
        <v>150</v>
      </c>
      <c r="T43" s="262">
        <f t="shared" si="4"/>
        <v>480</v>
      </c>
      <c r="U43" s="195">
        <v>1.1599999999999999</v>
      </c>
      <c r="V43" s="261">
        <v>310</v>
      </c>
      <c r="W43" s="107">
        <f t="shared" si="5"/>
        <v>172608</v>
      </c>
      <c r="X43" s="621"/>
      <c r="Y43" s="590"/>
      <c r="Z43" s="590"/>
      <c r="AA43" s="590"/>
      <c r="AB43" s="582"/>
      <c r="AC43" s="582"/>
      <c r="AD43" s="262">
        <v>40</v>
      </c>
      <c r="AE43" s="27">
        <f t="shared" si="6"/>
        <v>24</v>
      </c>
      <c r="AF43" s="27">
        <f t="shared" si="7"/>
        <v>16</v>
      </c>
    </row>
    <row r="44" spans="1:32">
      <c r="A44" s="253">
        <v>192</v>
      </c>
      <c r="B44" s="253" t="s">
        <v>94</v>
      </c>
      <c r="C44" s="262">
        <f t="shared" si="0"/>
        <v>1257</v>
      </c>
      <c r="D44" s="195">
        <v>1.45</v>
      </c>
      <c r="E44" s="252">
        <v>310</v>
      </c>
      <c r="F44" s="107">
        <f t="shared" si="1"/>
        <v>565021.5</v>
      </c>
      <c r="G44" s="254">
        <v>880</v>
      </c>
      <c r="H44" s="252">
        <v>2067</v>
      </c>
      <c r="I44" s="252">
        <v>620</v>
      </c>
      <c r="J44" s="252">
        <f>G44/H44*SUM(C44:C44)*I44</f>
        <v>331794.48476052255</v>
      </c>
      <c r="K44" s="251">
        <f>J44+F44</f>
        <v>896815.98476052261</v>
      </c>
      <c r="L44" s="251">
        <f>K44/C44</f>
        <v>713.45742622157729</v>
      </c>
      <c r="M44" s="254">
        <v>69</v>
      </c>
      <c r="N44" s="27">
        <f t="shared" si="2"/>
        <v>42</v>
      </c>
      <c r="O44" s="27">
        <f t="shared" si="3"/>
        <v>27</v>
      </c>
      <c r="P44" s="39"/>
      <c r="Q44">
        <v>27</v>
      </c>
      <c r="R44" s="263">
        <v>192</v>
      </c>
      <c r="S44" s="263" t="s">
        <v>94</v>
      </c>
      <c r="T44" s="262">
        <f t="shared" si="4"/>
        <v>810</v>
      </c>
      <c r="U44" s="195">
        <v>1.45</v>
      </c>
      <c r="V44" s="261">
        <v>310</v>
      </c>
      <c r="W44" s="107">
        <f t="shared" si="5"/>
        <v>364095</v>
      </c>
      <c r="X44" s="262">
        <v>880</v>
      </c>
      <c r="Y44" s="261">
        <v>2067</v>
      </c>
      <c r="Z44" s="261">
        <v>620</v>
      </c>
      <c r="AA44" s="261">
        <f>X44/Y44*SUM(T44:T44)*Z44</f>
        <v>213805.51523947751</v>
      </c>
      <c r="AB44" s="260">
        <f>AA44+W44</f>
        <v>577900.51523947751</v>
      </c>
      <c r="AC44" s="260">
        <f>AB44/T44</f>
        <v>713.45742622157718</v>
      </c>
      <c r="AD44" s="262">
        <v>69</v>
      </c>
      <c r="AE44" s="27">
        <f t="shared" si="6"/>
        <v>42</v>
      </c>
      <c r="AF44" s="27">
        <f t="shared" si="7"/>
        <v>27</v>
      </c>
    </row>
    <row r="45" spans="1:32">
      <c r="A45" s="624" t="s">
        <v>295</v>
      </c>
      <c r="B45" s="253" t="s">
        <v>308</v>
      </c>
      <c r="C45" s="262">
        <f t="shared" si="0"/>
        <v>865</v>
      </c>
      <c r="D45" s="195">
        <v>1.03</v>
      </c>
      <c r="E45" s="252">
        <v>310</v>
      </c>
      <c r="F45" s="107">
        <f t="shared" si="1"/>
        <v>276194.5</v>
      </c>
      <c r="G45" s="621">
        <v>4466</v>
      </c>
      <c r="H45" s="590">
        <v>10509</v>
      </c>
      <c r="I45" s="590">
        <v>620</v>
      </c>
      <c r="J45" s="590">
        <f>G45/H45*SUM(C45:C54)*I45</f>
        <v>1701822.6548672565</v>
      </c>
      <c r="K45" s="636">
        <f>J45+SUM(F45:F54)</f>
        <v>3707745.8548672562</v>
      </c>
      <c r="L45" s="582">
        <f>K45/SUM(C45:C54)</f>
        <v>574.04332789398609</v>
      </c>
      <c r="M45" s="254">
        <v>47</v>
      </c>
      <c r="N45" s="27">
        <f t="shared" si="2"/>
        <v>29</v>
      </c>
      <c r="O45" s="27">
        <f t="shared" si="3"/>
        <v>18</v>
      </c>
      <c r="P45" s="39"/>
      <c r="Q45">
        <v>18</v>
      </c>
      <c r="R45" s="624" t="s">
        <v>295</v>
      </c>
      <c r="S45" s="263" t="s">
        <v>308</v>
      </c>
      <c r="T45" s="262">
        <f t="shared" si="4"/>
        <v>540</v>
      </c>
      <c r="U45" s="195">
        <v>1.03</v>
      </c>
      <c r="V45" s="261">
        <v>310</v>
      </c>
      <c r="W45" s="107">
        <f t="shared" si="5"/>
        <v>172422</v>
      </c>
      <c r="X45" s="621">
        <v>4466</v>
      </c>
      <c r="Y45" s="590">
        <v>10509</v>
      </c>
      <c r="Z45" s="590">
        <v>620</v>
      </c>
      <c r="AA45" s="590">
        <f>X45/Y45*SUM(T45:T54)*Z45</f>
        <v>1067097.3451327432</v>
      </c>
      <c r="AB45" s="636">
        <f>AA45+SUM(W45:W54)</f>
        <v>2324457.345132743</v>
      </c>
      <c r="AC45" s="582">
        <f>AB45/SUM(T45:T54)</f>
        <v>573.94008521796127</v>
      </c>
      <c r="AD45" s="262">
        <v>47</v>
      </c>
      <c r="AE45" s="27">
        <f t="shared" si="6"/>
        <v>29</v>
      </c>
      <c r="AF45" s="27">
        <f t="shared" si="7"/>
        <v>18</v>
      </c>
    </row>
    <row r="46" spans="1:32">
      <c r="A46" s="624"/>
      <c r="B46" s="253" t="s">
        <v>95</v>
      </c>
      <c r="C46" s="262">
        <f t="shared" si="0"/>
        <v>600</v>
      </c>
      <c r="D46" s="195">
        <v>1.03</v>
      </c>
      <c r="E46" s="252">
        <v>310</v>
      </c>
      <c r="F46" s="107">
        <f t="shared" si="1"/>
        <v>191580</v>
      </c>
      <c r="G46" s="621"/>
      <c r="H46" s="590"/>
      <c r="I46" s="590"/>
      <c r="J46" s="590"/>
      <c r="K46" s="636"/>
      <c r="L46" s="582"/>
      <c r="M46" s="254">
        <v>33</v>
      </c>
      <c r="N46" s="27">
        <f t="shared" si="2"/>
        <v>20</v>
      </c>
      <c r="O46" s="27">
        <f t="shared" si="3"/>
        <v>13</v>
      </c>
      <c r="P46" s="39"/>
      <c r="Q46">
        <v>13</v>
      </c>
      <c r="R46" s="624"/>
      <c r="S46" s="263" t="s">
        <v>95</v>
      </c>
      <c r="T46" s="262">
        <f t="shared" si="4"/>
        <v>390</v>
      </c>
      <c r="U46" s="195">
        <v>1.03</v>
      </c>
      <c r="V46" s="261">
        <v>310</v>
      </c>
      <c r="W46" s="107">
        <f t="shared" si="5"/>
        <v>124527</v>
      </c>
      <c r="X46" s="621"/>
      <c r="Y46" s="590"/>
      <c r="Z46" s="590"/>
      <c r="AA46" s="590"/>
      <c r="AB46" s="636"/>
      <c r="AC46" s="582"/>
      <c r="AD46" s="262">
        <v>33</v>
      </c>
      <c r="AE46" s="27">
        <f t="shared" si="6"/>
        <v>20</v>
      </c>
      <c r="AF46" s="27">
        <f t="shared" si="7"/>
        <v>13</v>
      </c>
    </row>
    <row r="47" spans="1:32">
      <c r="A47" s="624"/>
      <c r="B47" s="253" t="s">
        <v>96</v>
      </c>
      <c r="C47" s="262">
        <f t="shared" si="0"/>
        <v>651</v>
      </c>
      <c r="D47" s="195">
        <v>1.03</v>
      </c>
      <c r="E47" s="252">
        <v>310</v>
      </c>
      <c r="F47" s="107">
        <f t="shared" si="1"/>
        <v>207864.3</v>
      </c>
      <c r="G47" s="621"/>
      <c r="H47" s="590"/>
      <c r="I47" s="590"/>
      <c r="J47" s="590"/>
      <c r="K47" s="636"/>
      <c r="L47" s="582"/>
      <c r="M47" s="254">
        <v>35</v>
      </c>
      <c r="N47" s="27">
        <f t="shared" si="2"/>
        <v>22</v>
      </c>
      <c r="O47" s="27">
        <f t="shared" si="3"/>
        <v>13</v>
      </c>
      <c r="P47" s="39"/>
      <c r="Q47">
        <v>13</v>
      </c>
      <c r="R47" s="624"/>
      <c r="S47" s="263" t="s">
        <v>96</v>
      </c>
      <c r="T47" s="262">
        <f t="shared" si="4"/>
        <v>390</v>
      </c>
      <c r="U47" s="195">
        <v>1.03</v>
      </c>
      <c r="V47" s="261">
        <v>310</v>
      </c>
      <c r="W47" s="107">
        <f t="shared" si="5"/>
        <v>124527</v>
      </c>
      <c r="X47" s="621"/>
      <c r="Y47" s="590"/>
      <c r="Z47" s="590"/>
      <c r="AA47" s="590"/>
      <c r="AB47" s="636"/>
      <c r="AC47" s="582"/>
      <c r="AD47" s="262">
        <v>35</v>
      </c>
      <c r="AE47" s="27">
        <f t="shared" si="6"/>
        <v>22</v>
      </c>
      <c r="AF47" s="27">
        <f t="shared" si="7"/>
        <v>13</v>
      </c>
    </row>
    <row r="48" spans="1:32">
      <c r="A48" s="624"/>
      <c r="B48" s="253" t="s">
        <v>97</v>
      </c>
      <c r="C48" s="262">
        <f t="shared" si="0"/>
        <v>702</v>
      </c>
      <c r="D48" s="195">
        <v>1.03</v>
      </c>
      <c r="E48" s="252">
        <v>310</v>
      </c>
      <c r="F48" s="107">
        <f t="shared" si="1"/>
        <v>224148.6</v>
      </c>
      <c r="G48" s="621"/>
      <c r="H48" s="590"/>
      <c r="I48" s="590"/>
      <c r="J48" s="590"/>
      <c r="K48" s="636"/>
      <c r="L48" s="582"/>
      <c r="M48" s="254">
        <v>37</v>
      </c>
      <c r="N48" s="27">
        <f t="shared" si="2"/>
        <v>23</v>
      </c>
      <c r="O48" s="27">
        <f t="shared" si="3"/>
        <v>14</v>
      </c>
      <c r="P48" s="39"/>
      <c r="Q48">
        <v>14</v>
      </c>
      <c r="R48" s="624"/>
      <c r="S48" s="263" t="s">
        <v>97</v>
      </c>
      <c r="T48" s="262">
        <f t="shared" si="4"/>
        <v>420</v>
      </c>
      <c r="U48" s="195">
        <v>1.03</v>
      </c>
      <c r="V48" s="261">
        <v>310</v>
      </c>
      <c r="W48" s="107">
        <f t="shared" si="5"/>
        <v>134106</v>
      </c>
      <c r="X48" s="621"/>
      <c r="Y48" s="590"/>
      <c r="Z48" s="590"/>
      <c r="AA48" s="590"/>
      <c r="AB48" s="636"/>
      <c r="AC48" s="582"/>
      <c r="AD48" s="262">
        <v>37</v>
      </c>
      <c r="AE48" s="27">
        <f t="shared" si="6"/>
        <v>23</v>
      </c>
      <c r="AF48" s="27">
        <f t="shared" si="7"/>
        <v>14</v>
      </c>
    </row>
    <row r="49" spans="1:32">
      <c r="A49" s="624"/>
      <c r="B49" s="253" t="s">
        <v>101</v>
      </c>
      <c r="C49" s="262">
        <f t="shared" si="0"/>
        <v>619</v>
      </c>
      <c r="D49" s="195">
        <v>0.98</v>
      </c>
      <c r="E49" s="252">
        <v>310</v>
      </c>
      <c r="F49" s="107">
        <f t="shared" si="1"/>
        <v>188052.2</v>
      </c>
      <c r="G49" s="621"/>
      <c r="H49" s="590"/>
      <c r="I49" s="590"/>
      <c r="J49" s="590"/>
      <c r="K49" s="636"/>
      <c r="L49" s="582"/>
      <c r="M49" s="254">
        <v>33</v>
      </c>
      <c r="N49" s="27">
        <f t="shared" si="2"/>
        <v>20</v>
      </c>
      <c r="O49" s="27">
        <f t="shared" si="3"/>
        <v>13</v>
      </c>
      <c r="P49" s="39"/>
      <c r="Q49">
        <v>13</v>
      </c>
      <c r="R49" s="624"/>
      <c r="S49" s="263" t="s">
        <v>101</v>
      </c>
      <c r="T49" s="262">
        <f t="shared" si="4"/>
        <v>390</v>
      </c>
      <c r="U49" s="195">
        <v>0.98</v>
      </c>
      <c r="V49" s="261">
        <v>310</v>
      </c>
      <c r="W49" s="107">
        <f t="shared" si="5"/>
        <v>118482</v>
      </c>
      <c r="X49" s="621"/>
      <c r="Y49" s="590"/>
      <c r="Z49" s="590"/>
      <c r="AA49" s="590"/>
      <c r="AB49" s="636"/>
      <c r="AC49" s="582"/>
      <c r="AD49" s="262">
        <v>33</v>
      </c>
      <c r="AE49" s="27">
        <f t="shared" si="6"/>
        <v>20</v>
      </c>
      <c r="AF49" s="27">
        <f t="shared" si="7"/>
        <v>13</v>
      </c>
    </row>
    <row r="50" spans="1:32" ht="15" customHeight="1">
      <c r="A50" s="624"/>
      <c r="B50" s="253" t="s">
        <v>158</v>
      </c>
      <c r="C50" s="262">
        <f t="shared" si="0"/>
        <v>633</v>
      </c>
      <c r="D50" s="195">
        <v>0.98</v>
      </c>
      <c r="E50" s="252">
        <v>310</v>
      </c>
      <c r="F50" s="107">
        <f t="shared" si="1"/>
        <v>192305.40000000002</v>
      </c>
      <c r="G50" s="621"/>
      <c r="H50" s="590"/>
      <c r="I50" s="590"/>
      <c r="J50" s="590"/>
      <c r="K50" s="636"/>
      <c r="L50" s="582"/>
      <c r="M50" s="254">
        <v>35</v>
      </c>
      <c r="N50" s="27">
        <f t="shared" si="2"/>
        <v>21</v>
      </c>
      <c r="O50" s="27">
        <f t="shared" si="3"/>
        <v>14</v>
      </c>
      <c r="P50" s="39"/>
      <c r="Q50">
        <v>14</v>
      </c>
      <c r="R50" s="624"/>
      <c r="S50" s="263" t="s">
        <v>158</v>
      </c>
      <c r="T50" s="262">
        <f t="shared" si="4"/>
        <v>420</v>
      </c>
      <c r="U50" s="195">
        <v>0.98</v>
      </c>
      <c r="V50" s="261">
        <v>310</v>
      </c>
      <c r="W50" s="107">
        <f t="shared" si="5"/>
        <v>127595.99999999999</v>
      </c>
      <c r="X50" s="621"/>
      <c r="Y50" s="590"/>
      <c r="Z50" s="590"/>
      <c r="AA50" s="590"/>
      <c r="AB50" s="636"/>
      <c r="AC50" s="582"/>
      <c r="AD50" s="262">
        <v>35</v>
      </c>
      <c r="AE50" s="27">
        <f t="shared" si="6"/>
        <v>21</v>
      </c>
      <c r="AF50" s="27">
        <f t="shared" si="7"/>
        <v>14</v>
      </c>
    </row>
    <row r="51" spans="1:32">
      <c r="A51" s="624"/>
      <c r="B51" s="253" t="s">
        <v>150</v>
      </c>
      <c r="C51" s="262">
        <f t="shared" si="0"/>
        <v>570</v>
      </c>
      <c r="D51" s="195">
        <v>0.98</v>
      </c>
      <c r="E51" s="252">
        <v>310</v>
      </c>
      <c r="F51" s="107">
        <f t="shared" si="1"/>
        <v>173166</v>
      </c>
      <c r="G51" s="621"/>
      <c r="H51" s="590"/>
      <c r="I51" s="590"/>
      <c r="J51" s="590"/>
      <c r="K51" s="636"/>
      <c r="L51" s="582"/>
      <c r="M51" s="254">
        <v>31</v>
      </c>
      <c r="N51" s="27">
        <f t="shared" si="2"/>
        <v>19</v>
      </c>
      <c r="O51" s="27">
        <f t="shared" si="3"/>
        <v>12</v>
      </c>
      <c r="P51" s="39"/>
      <c r="Q51">
        <v>12</v>
      </c>
      <c r="R51" s="624"/>
      <c r="S51" s="263" t="s">
        <v>150</v>
      </c>
      <c r="T51" s="262">
        <f t="shared" si="4"/>
        <v>360</v>
      </c>
      <c r="U51" s="195">
        <v>0.98</v>
      </c>
      <c r="V51" s="261">
        <v>310</v>
      </c>
      <c r="W51" s="107">
        <f t="shared" si="5"/>
        <v>109368</v>
      </c>
      <c r="X51" s="621"/>
      <c r="Y51" s="590"/>
      <c r="Z51" s="590"/>
      <c r="AA51" s="590"/>
      <c r="AB51" s="636"/>
      <c r="AC51" s="582"/>
      <c r="AD51" s="262">
        <v>31</v>
      </c>
      <c r="AE51" s="27">
        <f t="shared" si="6"/>
        <v>19</v>
      </c>
      <c r="AF51" s="27">
        <f t="shared" si="7"/>
        <v>12</v>
      </c>
    </row>
    <row r="52" spans="1:32">
      <c r="A52" s="624"/>
      <c r="B52" s="253" t="s">
        <v>307</v>
      </c>
      <c r="C52" s="262">
        <f t="shared" si="0"/>
        <v>589</v>
      </c>
      <c r="D52" s="195">
        <v>0.98</v>
      </c>
      <c r="E52" s="252">
        <v>310</v>
      </c>
      <c r="F52" s="107">
        <f t="shared" si="1"/>
        <v>178938.2</v>
      </c>
      <c r="G52" s="621"/>
      <c r="H52" s="590"/>
      <c r="I52" s="590"/>
      <c r="J52" s="590"/>
      <c r="K52" s="636"/>
      <c r="L52" s="582"/>
      <c r="M52" s="254">
        <v>32</v>
      </c>
      <c r="N52" s="27">
        <f t="shared" si="2"/>
        <v>20</v>
      </c>
      <c r="O52" s="27">
        <f t="shared" si="3"/>
        <v>12</v>
      </c>
      <c r="P52" s="39"/>
      <c r="Q52">
        <v>12</v>
      </c>
      <c r="R52" s="624"/>
      <c r="S52" s="263" t="s">
        <v>307</v>
      </c>
      <c r="T52" s="262">
        <f t="shared" si="4"/>
        <v>360</v>
      </c>
      <c r="U52" s="195">
        <v>0.98</v>
      </c>
      <c r="V52" s="261">
        <v>310</v>
      </c>
      <c r="W52" s="107">
        <f t="shared" si="5"/>
        <v>109368</v>
      </c>
      <c r="X52" s="621"/>
      <c r="Y52" s="590"/>
      <c r="Z52" s="590"/>
      <c r="AA52" s="590"/>
      <c r="AB52" s="636"/>
      <c r="AC52" s="582"/>
      <c r="AD52" s="262">
        <v>32</v>
      </c>
      <c r="AE52" s="27">
        <f t="shared" si="6"/>
        <v>20</v>
      </c>
      <c r="AF52" s="27">
        <f t="shared" si="7"/>
        <v>12</v>
      </c>
    </row>
    <row r="53" spans="1:32">
      <c r="A53" s="624"/>
      <c r="B53" s="253" t="s">
        <v>151</v>
      </c>
      <c r="C53" s="262">
        <f t="shared" si="0"/>
        <v>618</v>
      </c>
      <c r="D53" s="195">
        <v>0.98</v>
      </c>
      <c r="E53" s="252">
        <v>310</v>
      </c>
      <c r="F53" s="107">
        <f t="shared" si="1"/>
        <v>187748.4</v>
      </c>
      <c r="G53" s="621"/>
      <c r="H53" s="590"/>
      <c r="I53" s="590"/>
      <c r="J53" s="590"/>
      <c r="K53" s="636"/>
      <c r="L53" s="582"/>
      <c r="M53" s="254">
        <v>34</v>
      </c>
      <c r="N53" s="27">
        <f t="shared" si="2"/>
        <v>21</v>
      </c>
      <c r="O53" s="27">
        <f t="shared" si="3"/>
        <v>13</v>
      </c>
      <c r="P53" s="39"/>
      <c r="Q53">
        <v>13</v>
      </c>
      <c r="R53" s="624"/>
      <c r="S53" s="263" t="s">
        <v>151</v>
      </c>
      <c r="T53" s="262">
        <f t="shared" si="4"/>
        <v>390</v>
      </c>
      <c r="U53" s="195">
        <v>0.98</v>
      </c>
      <c r="V53" s="261">
        <v>310</v>
      </c>
      <c r="W53" s="107">
        <f t="shared" si="5"/>
        <v>118482</v>
      </c>
      <c r="X53" s="621"/>
      <c r="Y53" s="590"/>
      <c r="Z53" s="590"/>
      <c r="AA53" s="590"/>
      <c r="AB53" s="636"/>
      <c r="AC53" s="582"/>
      <c r="AD53" s="262">
        <v>34</v>
      </c>
      <c r="AE53" s="27">
        <f t="shared" si="6"/>
        <v>21</v>
      </c>
      <c r="AF53" s="27">
        <f t="shared" si="7"/>
        <v>13</v>
      </c>
    </row>
    <row r="54" spans="1:32">
      <c r="A54" s="624"/>
      <c r="B54" s="253" t="s">
        <v>285</v>
      </c>
      <c r="C54" s="262">
        <f t="shared" si="0"/>
        <v>612</v>
      </c>
      <c r="D54" s="195">
        <v>0.98</v>
      </c>
      <c r="E54" s="252">
        <v>310</v>
      </c>
      <c r="F54" s="107">
        <f t="shared" si="1"/>
        <v>185925.6</v>
      </c>
      <c r="G54" s="621"/>
      <c r="H54" s="590"/>
      <c r="I54" s="590"/>
      <c r="J54" s="590"/>
      <c r="K54" s="636"/>
      <c r="L54" s="582"/>
      <c r="M54" s="254">
        <v>33</v>
      </c>
      <c r="N54" s="27">
        <f t="shared" si="2"/>
        <v>20</v>
      </c>
      <c r="O54" s="27">
        <f t="shared" si="3"/>
        <v>13</v>
      </c>
      <c r="P54" s="39"/>
      <c r="Q54">
        <v>13</v>
      </c>
      <c r="R54" s="624"/>
      <c r="S54" s="263" t="s">
        <v>285</v>
      </c>
      <c r="T54" s="262">
        <f t="shared" si="4"/>
        <v>390</v>
      </c>
      <c r="U54" s="195">
        <v>0.98</v>
      </c>
      <c r="V54" s="261">
        <v>310</v>
      </c>
      <c r="W54" s="107">
        <f t="shared" si="5"/>
        <v>118482</v>
      </c>
      <c r="X54" s="621"/>
      <c r="Y54" s="590"/>
      <c r="Z54" s="590"/>
      <c r="AA54" s="590"/>
      <c r="AB54" s="636"/>
      <c r="AC54" s="582"/>
      <c r="AD54" s="262">
        <v>33</v>
      </c>
      <c r="AE54" s="27">
        <f t="shared" si="6"/>
        <v>20</v>
      </c>
      <c r="AF54" s="27">
        <f t="shared" si="7"/>
        <v>13</v>
      </c>
    </row>
    <row r="55" spans="1:32" ht="15" customHeight="1">
      <c r="A55" s="624">
        <v>324</v>
      </c>
      <c r="B55" s="253" t="s">
        <v>101</v>
      </c>
      <c r="C55" s="262">
        <f t="shared" si="0"/>
        <v>932</v>
      </c>
      <c r="D55" s="195">
        <v>1.1499999999999999</v>
      </c>
      <c r="E55" s="252">
        <v>310</v>
      </c>
      <c r="F55" s="107">
        <f t="shared" si="1"/>
        <v>332258</v>
      </c>
      <c r="G55" s="621">
        <v>4734</v>
      </c>
      <c r="H55" s="590">
        <v>11054</v>
      </c>
      <c r="I55" s="590">
        <v>620</v>
      </c>
      <c r="J55" s="590">
        <f>G55/H55*SUM(C55:C64)*I55</f>
        <v>1803956.3524516013</v>
      </c>
      <c r="K55" s="582">
        <f>J55+SUM(F55:F64)</f>
        <v>4226017.3524516011</v>
      </c>
      <c r="L55" s="582">
        <f>K55/SUM(C55:C64)</f>
        <v>622.0219829925818</v>
      </c>
      <c r="M55" s="254">
        <v>51</v>
      </c>
      <c r="N55" s="27">
        <f t="shared" si="2"/>
        <v>31</v>
      </c>
      <c r="O55" s="27">
        <f t="shared" si="3"/>
        <v>20</v>
      </c>
      <c r="P55" s="39"/>
      <c r="Q55">
        <v>20</v>
      </c>
      <c r="R55" s="624">
        <v>324</v>
      </c>
      <c r="S55" s="263" t="s">
        <v>101</v>
      </c>
      <c r="T55" s="262">
        <f t="shared" si="4"/>
        <v>600</v>
      </c>
      <c r="U55" s="195">
        <v>1.1499999999999999</v>
      </c>
      <c r="V55" s="261">
        <v>310</v>
      </c>
      <c r="W55" s="107">
        <f t="shared" si="5"/>
        <v>213900</v>
      </c>
      <c r="X55" s="621">
        <v>4734</v>
      </c>
      <c r="Y55" s="590">
        <v>11054</v>
      </c>
      <c r="Z55" s="590">
        <v>620</v>
      </c>
      <c r="AA55" s="590">
        <f>X55/Y55*SUM(T55:T64)*Z55</f>
        <v>1131123.6475483987</v>
      </c>
      <c r="AB55" s="582">
        <f>AA55+SUM(W55:W64)</f>
        <v>2649813.6475483989</v>
      </c>
      <c r="AC55" s="582">
        <f>AB55/SUM(T55:T64)</f>
        <v>622.02198299258191</v>
      </c>
      <c r="AD55" s="262">
        <v>51</v>
      </c>
      <c r="AE55" s="27">
        <f t="shared" si="6"/>
        <v>31</v>
      </c>
      <c r="AF55" s="27">
        <f t="shared" si="7"/>
        <v>20</v>
      </c>
    </row>
    <row r="56" spans="1:32">
      <c r="A56" s="624"/>
      <c r="B56" s="253" t="s">
        <v>150</v>
      </c>
      <c r="C56" s="262">
        <f t="shared" si="0"/>
        <v>1007</v>
      </c>
      <c r="D56" s="195">
        <v>1.1499999999999999</v>
      </c>
      <c r="E56" s="252">
        <v>310</v>
      </c>
      <c r="F56" s="107">
        <f t="shared" si="1"/>
        <v>358995.5</v>
      </c>
      <c r="G56" s="621"/>
      <c r="H56" s="590"/>
      <c r="I56" s="590"/>
      <c r="J56" s="590"/>
      <c r="K56" s="582"/>
      <c r="L56" s="582"/>
      <c r="M56" s="254">
        <v>55</v>
      </c>
      <c r="N56" s="27">
        <f t="shared" si="2"/>
        <v>34</v>
      </c>
      <c r="O56" s="27">
        <f t="shared" si="3"/>
        <v>21</v>
      </c>
      <c r="P56" s="39"/>
      <c r="Q56">
        <v>21</v>
      </c>
      <c r="R56" s="624"/>
      <c r="S56" s="263" t="s">
        <v>150</v>
      </c>
      <c r="T56" s="262">
        <f t="shared" si="4"/>
        <v>630</v>
      </c>
      <c r="U56" s="195">
        <v>1.1499999999999999</v>
      </c>
      <c r="V56" s="261">
        <v>310</v>
      </c>
      <c r="W56" s="107">
        <f t="shared" si="5"/>
        <v>224595</v>
      </c>
      <c r="X56" s="621"/>
      <c r="Y56" s="590"/>
      <c r="Z56" s="590"/>
      <c r="AA56" s="590"/>
      <c r="AB56" s="582"/>
      <c r="AC56" s="582"/>
      <c r="AD56" s="262">
        <v>55</v>
      </c>
      <c r="AE56" s="27">
        <f t="shared" si="6"/>
        <v>34</v>
      </c>
      <c r="AF56" s="27">
        <f t="shared" si="7"/>
        <v>21</v>
      </c>
    </row>
    <row r="57" spans="1:32">
      <c r="A57" s="624"/>
      <c r="B57" s="253" t="s">
        <v>309</v>
      </c>
      <c r="C57" s="262">
        <f t="shared" si="0"/>
        <v>612</v>
      </c>
      <c r="D57" s="195">
        <v>1.1499999999999999</v>
      </c>
      <c r="E57" s="252">
        <v>310</v>
      </c>
      <c r="F57" s="107">
        <f t="shared" si="1"/>
        <v>218178</v>
      </c>
      <c r="G57" s="621"/>
      <c r="H57" s="590"/>
      <c r="I57" s="590"/>
      <c r="J57" s="590"/>
      <c r="K57" s="582"/>
      <c r="L57" s="582"/>
      <c r="M57" s="254">
        <v>34</v>
      </c>
      <c r="N57" s="27">
        <f t="shared" si="2"/>
        <v>21</v>
      </c>
      <c r="O57" s="27">
        <f t="shared" si="3"/>
        <v>13</v>
      </c>
      <c r="P57" s="39"/>
      <c r="Q57">
        <v>13</v>
      </c>
      <c r="R57" s="624"/>
      <c r="S57" s="263" t="s">
        <v>309</v>
      </c>
      <c r="T57" s="262">
        <f>Q57*30</f>
        <v>390</v>
      </c>
      <c r="U57" s="195">
        <v>1.1499999999999999</v>
      </c>
      <c r="V57" s="261">
        <v>310</v>
      </c>
      <c r="W57" s="107">
        <f t="shared" si="5"/>
        <v>139034.99999999997</v>
      </c>
      <c r="X57" s="621"/>
      <c r="Y57" s="590"/>
      <c r="Z57" s="590"/>
      <c r="AA57" s="590"/>
      <c r="AB57" s="582"/>
      <c r="AC57" s="582"/>
      <c r="AD57" s="262">
        <v>34</v>
      </c>
      <c r="AE57" s="27">
        <f t="shared" si="6"/>
        <v>21</v>
      </c>
      <c r="AF57" s="27">
        <f t="shared" si="7"/>
        <v>13</v>
      </c>
    </row>
    <row r="58" spans="1:32">
      <c r="A58" s="624"/>
      <c r="B58" s="253" t="s">
        <v>302</v>
      </c>
      <c r="C58" s="262">
        <f t="shared" si="0"/>
        <v>604</v>
      </c>
      <c r="D58" s="195">
        <v>1.1499999999999999</v>
      </c>
      <c r="E58" s="252">
        <v>310</v>
      </c>
      <c r="F58" s="107">
        <f t="shared" si="1"/>
        <v>215325.99999999997</v>
      </c>
      <c r="G58" s="621"/>
      <c r="H58" s="590"/>
      <c r="I58" s="590"/>
      <c r="J58" s="590"/>
      <c r="K58" s="582"/>
      <c r="L58" s="582"/>
      <c r="M58" s="254">
        <v>32</v>
      </c>
      <c r="N58" s="27">
        <f t="shared" si="2"/>
        <v>20</v>
      </c>
      <c r="O58" s="27">
        <f t="shared" si="3"/>
        <v>12</v>
      </c>
      <c r="P58" s="39"/>
      <c r="Q58">
        <v>12</v>
      </c>
      <c r="R58" s="624"/>
      <c r="S58" s="263" t="s">
        <v>302</v>
      </c>
      <c r="T58" s="262">
        <f t="shared" si="4"/>
        <v>360</v>
      </c>
      <c r="U58" s="195">
        <v>1.1499999999999999</v>
      </c>
      <c r="V58" s="261">
        <v>310</v>
      </c>
      <c r="W58" s="107">
        <f t="shared" si="5"/>
        <v>128339.99999999999</v>
      </c>
      <c r="X58" s="621"/>
      <c r="Y58" s="590"/>
      <c r="Z58" s="590"/>
      <c r="AA58" s="590"/>
      <c r="AB58" s="582"/>
      <c r="AC58" s="582"/>
      <c r="AD58" s="262">
        <v>32</v>
      </c>
      <c r="AE58" s="27">
        <f t="shared" si="6"/>
        <v>20</v>
      </c>
      <c r="AF58" s="27">
        <f t="shared" si="7"/>
        <v>12</v>
      </c>
    </row>
    <row r="59" spans="1:32">
      <c r="A59" s="624"/>
      <c r="B59" s="253" t="s">
        <v>158</v>
      </c>
      <c r="C59" s="262">
        <f t="shared" si="0"/>
        <v>650</v>
      </c>
      <c r="D59" s="195">
        <v>1.1499999999999999</v>
      </c>
      <c r="E59" s="252">
        <v>310</v>
      </c>
      <c r="F59" s="107">
        <f t="shared" si="1"/>
        <v>231724.99999999997</v>
      </c>
      <c r="G59" s="621"/>
      <c r="H59" s="590"/>
      <c r="I59" s="590"/>
      <c r="J59" s="590"/>
      <c r="K59" s="582"/>
      <c r="L59" s="582"/>
      <c r="M59" s="254">
        <v>35</v>
      </c>
      <c r="N59" s="27">
        <f t="shared" si="2"/>
        <v>22</v>
      </c>
      <c r="O59" s="27">
        <f t="shared" si="3"/>
        <v>13</v>
      </c>
      <c r="P59" s="39"/>
      <c r="Q59">
        <v>13</v>
      </c>
      <c r="R59" s="624"/>
      <c r="S59" s="263" t="s">
        <v>158</v>
      </c>
      <c r="T59" s="262">
        <f t="shared" si="4"/>
        <v>390</v>
      </c>
      <c r="U59" s="195">
        <v>1.1499999999999999</v>
      </c>
      <c r="V59" s="261">
        <v>310</v>
      </c>
      <c r="W59" s="107">
        <f t="shared" si="5"/>
        <v>139034.99999999997</v>
      </c>
      <c r="X59" s="621"/>
      <c r="Y59" s="590"/>
      <c r="Z59" s="590"/>
      <c r="AA59" s="590"/>
      <c r="AB59" s="582"/>
      <c r="AC59" s="582"/>
      <c r="AD59" s="262">
        <v>35</v>
      </c>
      <c r="AE59" s="27">
        <f t="shared" si="6"/>
        <v>22</v>
      </c>
      <c r="AF59" s="27">
        <f t="shared" si="7"/>
        <v>13</v>
      </c>
    </row>
    <row r="60" spans="1:32">
      <c r="A60" s="624"/>
      <c r="B60" s="253" t="s">
        <v>310</v>
      </c>
      <c r="C60" s="262">
        <f t="shared" si="0"/>
        <v>630</v>
      </c>
      <c r="D60" s="195">
        <v>1.1499999999999999</v>
      </c>
      <c r="E60" s="252">
        <v>310</v>
      </c>
      <c r="F60" s="107">
        <f t="shared" si="1"/>
        <v>224595</v>
      </c>
      <c r="G60" s="621"/>
      <c r="H60" s="590"/>
      <c r="I60" s="590"/>
      <c r="J60" s="590"/>
      <c r="K60" s="582"/>
      <c r="L60" s="582"/>
      <c r="M60" s="254">
        <v>35</v>
      </c>
      <c r="N60" s="27">
        <f t="shared" si="2"/>
        <v>21</v>
      </c>
      <c r="O60" s="27">
        <f t="shared" si="3"/>
        <v>14</v>
      </c>
      <c r="P60" s="39"/>
      <c r="Q60">
        <v>14</v>
      </c>
      <c r="R60" s="624"/>
      <c r="S60" s="263" t="s">
        <v>310</v>
      </c>
      <c r="T60" s="262">
        <f t="shared" si="4"/>
        <v>420</v>
      </c>
      <c r="U60" s="195">
        <v>1.1499999999999999</v>
      </c>
      <c r="V60" s="261">
        <v>310</v>
      </c>
      <c r="W60" s="107">
        <f t="shared" si="5"/>
        <v>149729.99999999997</v>
      </c>
      <c r="X60" s="621"/>
      <c r="Y60" s="590"/>
      <c r="Z60" s="590"/>
      <c r="AA60" s="590"/>
      <c r="AB60" s="582"/>
      <c r="AC60" s="582"/>
      <c r="AD60" s="262">
        <v>35</v>
      </c>
      <c r="AE60" s="27">
        <f t="shared" si="6"/>
        <v>21</v>
      </c>
      <c r="AF60" s="27">
        <f t="shared" si="7"/>
        <v>14</v>
      </c>
    </row>
    <row r="61" spans="1:32">
      <c r="A61" s="624"/>
      <c r="B61" s="253" t="s">
        <v>311</v>
      </c>
      <c r="C61" s="262">
        <f t="shared" si="0"/>
        <v>630</v>
      </c>
      <c r="D61" s="195">
        <v>1.1499999999999999</v>
      </c>
      <c r="E61" s="252">
        <v>310</v>
      </c>
      <c r="F61" s="107">
        <f t="shared" si="1"/>
        <v>224595</v>
      </c>
      <c r="G61" s="621"/>
      <c r="H61" s="590"/>
      <c r="I61" s="590"/>
      <c r="J61" s="590"/>
      <c r="K61" s="582"/>
      <c r="L61" s="582"/>
      <c r="M61" s="254">
        <v>35</v>
      </c>
      <c r="N61" s="27">
        <f t="shared" si="2"/>
        <v>21</v>
      </c>
      <c r="O61" s="27">
        <f t="shared" si="3"/>
        <v>14</v>
      </c>
      <c r="P61" s="39"/>
      <c r="Q61">
        <v>14</v>
      </c>
      <c r="R61" s="624"/>
      <c r="S61" s="263" t="s">
        <v>311</v>
      </c>
      <c r="T61" s="262">
        <f t="shared" si="4"/>
        <v>420</v>
      </c>
      <c r="U61" s="195">
        <v>1.1499999999999999</v>
      </c>
      <c r="V61" s="261">
        <v>310</v>
      </c>
      <c r="W61" s="107">
        <f t="shared" si="5"/>
        <v>149729.99999999997</v>
      </c>
      <c r="X61" s="621"/>
      <c r="Y61" s="590"/>
      <c r="Z61" s="590"/>
      <c r="AA61" s="590"/>
      <c r="AB61" s="582"/>
      <c r="AC61" s="582"/>
      <c r="AD61" s="262">
        <v>35</v>
      </c>
      <c r="AE61" s="27">
        <f t="shared" si="6"/>
        <v>21</v>
      </c>
      <c r="AF61" s="27">
        <f t="shared" si="7"/>
        <v>14</v>
      </c>
    </row>
    <row r="62" spans="1:32">
      <c r="A62" s="624"/>
      <c r="B62" s="253" t="s">
        <v>151</v>
      </c>
      <c r="C62" s="262">
        <f t="shared" si="0"/>
        <v>408</v>
      </c>
      <c r="D62" s="195">
        <v>1.1499999999999999</v>
      </c>
      <c r="E62" s="252">
        <v>310</v>
      </c>
      <c r="F62" s="107">
        <f t="shared" si="1"/>
        <v>145452</v>
      </c>
      <c r="G62" s="621"/>
      <c r="H62" s="590"/>
      <c r="I62" s="590"/>
      <c r="J62" s="590"/>
      <c r="K62" s="582"/>
      <c r="L62" s="582"/>
      <c r="M62" s="254">
        <v>22</v>
      </c>
      <c r="N62" s="27">
        <f t="shared" si="2"/>
        <v>14</v>
      </c>
      <c r="O62" s="27">
        <f t="shared" si="3"/>
        <v>8</v>
      </c>
      <c r="P62" s="39"/>
      <c r="Q62">
        <v>8</v>
      </c>
      <c r="R62" s="624"/>
      <c r="S62" s="263" t="s">
        <v>151</v>
      </c>
      <c r="T62" s="262">
        <f t="shared" si="4"/>
        <v>240</v>
      </c>
      <c r="U62" s="195">
        <v>1.1499999999999999</v>
      </c>
      <c r="V62" s="261">
        <v>310</v>
      </c>
      <c r="W62" s="107">
        <f t="shared" si="5"/>
        <v>85560</v>
      </c>
      <c r="X62" s="621"/>
      <c r="Y62" s="590"/>
      <c r="Z62" s="590"/>
      <c r="AA62" s="590"/>
      <c r="AB62" s="582"/>
      <c r="AC62" s="582"/>
      <c r="AD62" s="262">
        <v>22</v>
      </c>
      <c r="AE62" s="27">
        <f t="shared" si="6"/>
        <v>14</v>
      </c>
      <c r="AF62" s="27">
        <f t="shared" si="7"/>
        <v>8</v>
      </c>
    </row>
    <row r="63" spans="1:32" ht="15" customHeight="1">
      <c r="A63" s="624"/>
      <c r="B63" s="253" t="s">
        <v>95</v>
      </c>
      <c r="C63" s="262">
        <f t="shared" si="0"/>
        <v>646</v>
      </c>
      <c r="D63" s="195">
        <v>1.1499999999999999</v>
      </c>
      <c r="E63" s="252">
        <v>310</v>
      </c>
      <c r="F63" s="107">
        <f t="shared" si="1"/>
        <v>230299</v>
      </c>
      <c r="G63" s="621"/>
      <c r="H63" s="590"/>
      <c r="I63" s="590"/>
      <c r="J63" s="590"/>
      <c r="K63" s="582"/>
      <c r="L63" s="582"/>
      <c r="M63" s="254">
        <v>35</v>
      </c>
      <c r="N63" s="27">
        <f t="shared" si="2"/>
        <v>22</v>
      </c>
      <c r="O63" s="27">
        <f t="shared" si="3"/>
        <v>13</v>
      </c>
      <c r="P63" s="39"/>
      <c r="Q63">
        <v>13</v>
      </c>
      <c r="R63" s="624"/>
      <c r="S63" s="263" t="s">
        <v>95</v>
      </c>
      <c r="T63" s="262">
        <f t="shared" si="4"/>
        <v>390</v>
      </c>
      <c r="U63" s="195">
        <v>1.1499999999999999</v>
      </c>
      <c r="V63" s="261">
        <v>310</v>
      </c>
      <c r="W63" s="107">
        <f t="shared" si="5"/>
        <v>139034.99999999997</v>
      </c>
      <c r="X63" s="621"/>
      <c r="Y63" s="590"/>
      <c r="Z63" s="590"/>
      <c r="AA63" s="590"/>
      <c r="AB63" s="582"/>
      <c r="AC63" s="582"/>
      <c r="AD63" s="262">
        <v>35</v>
      </c>
      <c r="AE63" s="27">
        <f t="shared" si="6"/>
        <v>22</v>
      </c>
      <c r="AF63" s="27">
        <f t="shared" si="7"/>
        <v>13</v>
      </c>
    </row>
    <row r="64" spans="1:32">
      <c r="A64" s="624"/>
      <c r="B64" s="253" t="s">
        <v>307</v>
      </c>
      <c r="C64" s="262">
        <f t="shared" si="0"/>
        <v>675</v>
      </c>
      <c r="D64" s="195">
        <v>1.1499999999999999</v>
      </c>
      <c r="E64" s="252">
        <v>310</v>
      </c>
      <c r="F64" s="107">
        <f t="shared" si="1"/>
        <v>240637.49999999997</v>
      </c>
      <c r="G64" s="621"/>
      <c r="H64" s="590"/>
      <c r="I64" s="590"/>
      <c r="J64" s="590"/>
      <c r="K64" s="582"/>
      <c r="L64" s="582"/>
      <c r="M64" s="254">
        <v>37</v>
      </c>
      <c r="N64" s="27">
        <f t="shared" si="2"/>
        <v>23</v>
      </c>
      <c r="O64" s="27">
        <f t="shared" si="3"/>
        <v>14</v>
      </c>
      <c r="P64" s="39"/>
      <c r="Q64">
        <v>14</v>
      </c>
      <c r="R64" s="624"/>
      <c r="S64" s="263" t="s">
        <v>307</v>
      </c>
      <c r="T64" s="262">
        <f t="shared" si="4"/>
        <v>420</v>
      </c>
      <c r="U64" s="195">
        <v>1.1499999999999999</v>
      </c>
      <c r="V64" s="261">
        <v>310</v>
      </c>
      <c r="W64" s="107">
        <f t="shared" si="5"/>
        <v>149729.99999999997</v>
      </c>
      <c r="X64" s="621"/>
      <c r="Y64" s="590"/>
      <c r="Z64" s="590"/>
      <c r="AA64" s="590"/>
      <c r="AB64" s="582"/>
      <c r="AC64" s="582"/>
      <c r="AD64" s="262">
        <v>37</v>
      </c>
      <c r="AE64" s="27">
        <f t="shared" si="6"/>
        <v>23</v>
      </c>
      <c r="AF64" s="27">
        <f t="shared" si="7"/>
        <v>14</v>
      </c>
    </row>
    <row r="65" spans="1:32">
      <c r="A65" s="253" t="s">
        <v>296</v>
      </c>
      <c r="B65" s="253" t="s">
        <v>101</v>
      </c>
      <c r="C65" s="262">
        <f t="shared" si="0"/>
        <v>900</v>
      </c>
      <c r="D65" s="195">
        <v>1.22</v>
      </c>
      <c r="E65" s="252">
        <v>310</v>
      </c>
      <c r="F65" s="107">
        <f t="shared" si="1"/>
        <v>340380</v>
      </c>
      <c r="G65" s="255">
        <v>730</v>
      </c>
      <c r="H65" s="252">
        <v>1500</v>
      </c>
      <c r="I65" s="252">
        <v>620</v>
      </c>
      <c r="J65" s="252">
        <f>G65/H65*C65*I65</f>
        <v>271560</v>
      </c>
      <c r="K65" s="251">
        <f>J65+F65</f>
        <v>611940</v>
      </c>
      <c r="L65" s="251">
        <f>K65/C65</f>
        <v>679.93333333333328</v>
      </c>
      <c r="M65" s="254">
        <v>50</v>
      </c>
      <c r="N65" s="27">
        <f t="shared" si="2"/>
        <v>30</v>
      </c>
      <c r="O65" s="27">
        <f t="shared" si="3"/>
        <v>20</v>
      </c>
      <c r="P65" s="39"/>
      <c r="Q65">
        <v>20</v>
      </c>
      <c r="R65" s="263" t="s">
        <v>296</v>
      </c>
      <c r="S65" s="263" t="s">
        <v>101</v>
      </c>
      <c r="T65" s="262">
        <f t="shared" si="4"/>
        <v>600</v>
      </c>
      <c r="U65" s="195">
        <v>1.22</v>
      </c>
      <c r="V65" s="261">
        <v>310</v>
      </c>
      <c r="W65" s="107">
        <f t="shared" si="5"/>
        <v>226920</v>
      </c>
      <c r="X65" s="255">
        <v>730</v>
      </c>
      <c r="Y65" s="261">
        <v>1500</v>
      </c>
      <c r="Z65" s="261">
        <v>620</v>
      </c>
      <c r="AA65" s="261">
        <f>X65/Y65*T65*Z65</f>
        <v>181040</v>
      </c>
      <c r="AB65" s="260">
        <f>AA65+W65</f>
        <v>407960</v>
      </c>
      <c r="AC65" s="260">
        <f>AB65/T65</f>
        <v>679.93333333333328</v>
      </c>
      <c r="AD65" s="262">
        <v>50</v>
      </c>
      <c r="AE65" s="27">
        <f t="shared" si="6"/>
        <v>30</v>
      </c>
      <c r="AF65" s="27">
        <f t="shared" si="7"/>
        <v>20</v>
      </c>
    </row>
    <row r="66" spans="1:32">
      <c r="A66" s="616" t="s">
        <v>297</v>
      </c>
      <c r="B66" s="253" t="s">
        <v>150</v>
      </c>
      <c r="C66" s="262">
        <f t="shared" si="0"/>
        <v>656</v>
      </c>
      <c r="D66" s="195">
        <v>0.76</v>
      </c>
      <c r="E66" s="252">
        <v>310</v>
      </c>
      <c r="F66" s="107">
        <f t="shared" si="1"/>
        <v>154553.60000000001</v>
      </c>
      <c r="G66" s="624">
        <v>2334.25</v>
      </c>
      <c r="H66" s="590">
        <v>6439</v>
      </c>
      <c r="I66" s="590">
        <v>620</v>
      </c>
      <c r="J66" s="590">
        <f>G66/H66*SUM(C66:C71)*I66</f>
        <v>887580.52725578495</v>
      </c>
      <c r="K66" s="636">
        <f>J66+SUM(F66:F71)</f>
        <v>1817964.9272557851</v>
      </c>
      <c r="L66" s="582">
        <f>K66/SUM(C66:C71)</f>
        <v>460.36083242739556</v>
      </c>
      <c r="M66" s="254">
        <v>21</v>
      </c>
      <c r="N66" s="27">
        <f t="shared" si="2"/>
        <v>7</v>
      </c>
      <c r="O66" s="27">
        <f t="shared" si="3"/>
        <v>14</v>
      </c>
      <c r="P66" s="39"/>
      <c r="Q66">
        <v>14</v>
      </c>
      <c r="R66" s="616" t="s">
        <v>297</v>
      </c>
      <c r="S66" s="263" t="s">
        <v>150</v>
      </c>
      <c r="T66" s="262">
        <f t="shared" si="4"/>
        <v>420</v>
      </c>
      <c r="U66" s="195">
        <v>0.76</v>
      </c>
      <c r="V66" s="261">
        <v>310</v>
      </c>
      <c r="W66" s="107">
        <f t="shared" si="5"/>
        <v>98952</v>
      </c>
      <c r="X66" s="624">
        <v>2334.25</v>
      </c>
      <c r="Y66" s="590">
        <v>6439</v>
      </c>
      <c r="Z66" s="590">
        <v>620</v>
      </c>
      <c r="AA66" s="590">
        <f>X66/Y66*SUM(T66:T71)*Z66</f>
        <v>559654.47274421493</v>
      </c>
      <c r="AB66" s="636">
        <f>AA66+SUM(W66:W71)</f>
        <v>1146298.4727442148</v>
      </c>
      <c r="AC66" s="582">
        <f>AB66/SUM(T66:T71)</f>
        <v>460.36083242739551</v>
      </c>
      <c r="AD66" s="262">
        <v>21</v>
      </c>
      <c r="AE66" s="27">
        <f t="shared" si="6"/>
        <v>7</v>
      </c>
      <c r="AF66" s="27">
        <f t="shared" si="7"/>
        <v>14</v>
      </c>
    </row>
    <row r="67" spans="1:32">
      <c r="A67" s="616"/>
      <c r="B67" s="253" t="s">
        <v>95</v>
      </c>
      <c r="C67" s="262">
        <f t="shared" si="0"/>
        <v>731</v>
      </c>
      <c r="D67" s="195">
        <v>0.76</v>
      </c>
      <c r="E67" s="252">
        <v>310</v>
      </c>
      <c r="F67" s="107">
        <f t="shared" si="1"/>
        <v>172223.6</v>
      </c>
      <c r="G67" s="624"/>
      <c r="H67" s="590"/>
      <c r="I67" s="590"/>
      <c r="J67" s="590"/>
      <c r="K67" s="636"/>
      <c r="L67" s="582"/>
      <c r="M67" s="254">
        <v>24</v>
      </c>
      <c r="N67" s="27">
        <f t="shared" si="2"/>
        <v>8</v>
      </c>
      <c r="O67" s="27">
        <f t="shared" si="3"/>
        <v>16</v>
      </c>
      <c r="P67" s="39"/>
      <c r="Q67">
        <v>16</v>
      </c>
      <c r="R67" s="616"/>
      <c r="S67" s="263" t="s">
        <v>95</v>
      </c>
      <c r="T67" s="262">
        <f t="shared" si="4"/>
        <v>480</v>
      </c>
      <c r="U67" s="195">
        <v>0.76</v>
      </c>
      <c r="V67" s="261">
        <v>310</v>
      </c>
      <c r="W67" s="107">
        <f t="shared" si="5"/>
        <v>113088</v>
      </c>
      <c r="X67" s="624"/>
      <c r="Y67" s="590"/>
      <c r="Z67" s="590"/>
      <c r="AA67" s="590"/>
      <c r="AB67" s="636"/>
      <c r="AC67" s="582"/>
      <c r="AD67" s="262">
        <v>24</v>
      </c>
      <c r="AE67" s="27">
        <f t="shared" si="6"/>
        <v>8</v>
      </c>
      <c r="AF67" s="27">
        <f t="shared" si="7"/>
        <v>16</v>
      </c>
    </row>
    <row r="68" spans="1:32">
      <c r="A68" s="616"/>
      <c r="B68" s="253" t="s">
        <v>97</v>
      </c>
      <c r="C68" s="262">
        <f t="shared" ref="C68:C71" si="8">F140-T68</f>
        <v>619</v>
      </c>
      <c r="D68" s="195">
        <v>0.76</v>
      </c>
      <c r="E68" s="252">
        <v>310</v>
      </c>
      <c r="F68" s="107">
        <f t="shared" si="1"/>
        <v>145836.4</v>
      </c>
      <c r="G68" s="624"/>
      <c r="H68" s="590"/>
      <c r="I68" s="590"/>
      <c r="J68" s="590"/>
      <c r="K68" s="636"/>
      <c r="L68" s="582"/>
      <c r="M68" s="254">
        <v>20</v>
      </c>
      <c r="N68" s="27">
        <f t="shared" ref="N68:N71" si="9">M68-Q68</f>
        <v>7</v>
      </c>
      <c r="O68" s="27">
        <f t="shared" ref="O68:O71" si="10">M68-N68</f>
        <v>13</v>
      </c>
      <c r="P68" s="39"/>
      <c r="Q68">
        <v>13</v>
      </c>
      <c r="R68" s="616"/>
      <c r="S68" s="263" t="s">
        <v>97</v>
      </c>
      <c r="T68" s="262">
        <f t="shared" ref="T68:T71" si="11">Q68*30</f>
        <v>390</v>
      </c>
      <c r="U68" s="195">
        <v>0.76</v>
      </c>
      <c r="V68" s="261">
        <v>310</v>
      </c>
      <c r="W68" s="107">
        <f t="shared" si="5"/>
        <v>91884</v>
      </c>
      <c r="X68" s="624"/>
      <c r="Y68" s="590"/>
      <c r="Z68" s="590"/>
      <c r="AA68" s="590"/>
      <c r="AB68" s="636"/>
      <c r="AC68" s="582"/>
      <c r="AD68" s="262">
        <v>20</v>
      </c>
      <c r="AE68" s="27">
        <f t="shared" ref="AE68:AE71" si="12">AD68-AF68</f>
        <v>7</v>
      </c>
      <c r="AF68" s="27">
        <f t="shared" ref="AF68:AF71" si="13">Q68</f>
        <v>13</v>
      </c>
    </row>
    <row r="69" spans="1:32">
      <c r="A69" s="616"/>
      <c r="B69" s="253" t="s">
        <v>100</v>
      </c>
      <c r="C69" s="262">
        <f t="shared" si="8"/>
        <v>689</v>
      </c>
      <c r="D69" s="195">
        <v>0.76</v>
      </c>
      <c r="E69" s="252">
        <v>310</v>
      </c>
      <c r="F69" s="107">
        <f t="shared" ref="F69:F71" si="14">C69*D69*E69</f>
        <v>162328.4</v>
      </c>
      <c r="G69" s="624"/>
      <c r="H69" s="590"/>
      <c r="I69" s="590"/>
      <c r="J69" s="590"/>
      <c r="K69" s="636"/>
      <c r="L69" s="582"/>
      <c r="M69" s="254">
        <v>22</v>
      </c>
      <c r="N69" s="27">
        <f t="shared" si="9"/>
        <v>8</v>
      </c>
      <c r="O69" s="27">
        <f t="shared" si="10"/>
        <v>14</v>
      </c>
      <c r="P69" s="39"/>
      <c r="Q69">
        <v>14</v>
      </c>
      <c r="R69" s="616"/>
      <c r="S69" s="263" t="s">
        <v>100</v>
      </c>
      <c r="T69" s="262">
        <f t="shared" si="11"/>
        <v>420</v>
      </c>
      <c r="U69" s="195">
        <v>0.76</v>
      </c>
      <c r="V69" s="261">
        <v>310</v>
      </c>
      <c r="W69" s="107">
        <f t="shared" ref="W69:W71" si="15">T69*U69*V69</f>
        <v>98952</v>
      </c>
      <c r="X69" s="624"/>
      <c r="Y69" s="590"/>
      <c r="Z69" s="590"/>
      <c r="AA69" s="590"/>
      <c r="AB69" s="636"/>
      <c r="AC69" s="582"/>
      <c r="AD69" s="262">
        <v>22</v>
      </c>
      <c r="AE69" s="27">
        <f t="shared" si="12"/>
        <v>8</v>
      </c>
      <c r="AF69" s="27">
        <f t="shared" si="13"/>
        <v>14</v>
      </c>
    </row>
    <row r="70" spans="1:32">
      <c r="A70" s="616"/>
      <c r="B70" s="253" t="s">
        <v>298</v>
      </c>
      <c r="C70" s="262">
        <f t="shared" si="8"/>
        <v>615</v>
      </c>
      <c r="D70" s="195">
        <v>0.76</v>
      </c>
      <c r="E70" s="252">
        <v>310</v>
      </c>
      <c r="F70" s="107">
        <f t="shared" si="14"/>
        <v>144894</v>
      </c>
      <c r="G70" s="624"/>
      <c r="H70" s="590"/>
      <c r="I70" s="590"/>
      <c r="J70" s="590"/>
      <c r="K70" s="636"/>
      <c r="L70" s="582"/>
      <c r="M70" s="254">
        <v>20</v>
      </c>
      <c r="N70" s="27">
        <f t="shared" si="9"/>
        <v>7</v>
      </c>
      <c r="O70" s="27">
        <f t="shared" si="10"/>
        <v>13</v>
      </c>
      <c r="P70" s="39"/>
      <c r="Q70">
        <v>13</v>
      </c>
      <c r="R70" s="616"/>
      <c r="S70" s="263" t="s">
        <v>298</v>
      </c>
      <c r="T70" s="262">
        <f t="shared" si="11"/>
        <v>390</v>
      </c>
      <c r="U70" s="195">
        <v>0.76</v>
      </c>
      <c r="V70" s="261">
        <v>310</v>
      </c>
      <c r="W70" s="107">
        <f t="shared" si="15"/>
        <v>91884</v>
      </c>
      <c r="X70" s="624"/>
      <c r="Y70" s="590"/>
      <c r="Z70" s="590"/>
      <c r="AA70" s="590"/>
      <c r="AB70" s="636"/>
      <c r="AC70" s="582"/>
      <c r="AD70" s="262">
        <v>20</v>
      </c>
      <c r="AE70" s="27">
        <f t="shared" si="12"/>
        <v>7</v>
      </c>
      <c r="AF70" s="27">
        <f t="shared" si="13"/>
        <v>13</v>
      </c>
    </row>
    <row r="71" spans="1:32">
      <c r="A71" s="616"/>
      <c r="B71" s="253" t="s">
        <v>299</v>
      </c>
      <c r="C71" s="262">
        <f t="shared" si="8"/>
        <v>639</v>
      </c>
      <c r="D71" s="195">
        <v>0.76</v>
      </c>
      <c r="E71" s="252">
        <v>310</v>
      </c>
      <c r="F71" s="107">
        <f t="shared" si="14"/>
        <v>150548.4</v>
      </c>
      <c r="G71" s="624"/>
      <c r="H71" s="590"/>
      <c r="I71" s="590"/>
      <c r="J71" s="590"/>
      <c r="K71" s="636"/>
      <c r="L71" s="582"/>
      <c r="M71" s="254">
        <v>20</v>
      </c>
      <c r="N71" s="27">
        <f t="shared" si="9"/>
        <v>7</v>
      </c>
      <c r="O71" s="27">
        <f t="shared" si="10"/>
        <v>13</v>
      </c>
      <c r="P71" s="39"/>
      <c r="Q71">
        <v>13</v>
      </c>
      <c r="R71" s="616"/>
      <c r="S71" s="263" t="s">
        <v>299</v>
      </c>
      <c r="T71" s="262">
        <f t="shared" si="11"/>
        <v>390</v>
      </c>
      <c r="U71" s="195">
        <v>0.76</v>
      </c>
      <c r="V71" s="261">
        <v>310</v>
      </c>
      <c r="W71" s="107">
        <f t="shared" si="15"/>
        <v>91884</v>
      </c>
      <c r="X71" s="624"/>
      <c r="Y71" s="590"/>
      <c r="Z71" s="590"/>
      <c r="AA71" s="590"/>
      <c r="AB71" s="636"/>
      <c r="AC71" s="582"/>
      <c r="AD71" s="262">
        <v>20</v>
      </c>
      <c r="AE71" s="27">
        <f t="shared" si="12"/>
        <v>7</v>
      </c>
      <c r="AF71" s="27">
        <f t="shared" si="13"/>
        <v>13</v>
      </c>
    </row>
    <row r="72" spans="1:32" ht="15.75">
      <c r="A72" s="253"/>
      <c r="B72" s="250"/>
      <c r="C72" s="250">
        <f>SUM(C3:C71)</f>
        <v>40213</v>
      </c>
      <c r="D72" s="250"/>
      <c r="E72" s="250"/>
      <c r="F72" s="256">
        <f>SUM(F3:F71)</f>
        <v>14480850.199999999</v>
      </c>
      <c r="G72" s="187">
        <f>SUM(G3:G71)</f>
        <v>27900</v>
      </c>
      <c r="H72" s="250">
        <f>SUM(H3:H71)</f>
        <v>65503</v>
      </c>
      <c r="I72" s="250"/>
      <c r="J72" s="250">
        <f>SUM(J3:J71)</f>
        <v>10639404.312357366</v>
      </c>
      <c r="K72" s="215">
        <f>SUM(K3:K71)</f>
        <v>25120254.512357362</v>
      </c>
      <c r="L72" s="250"/>
      <c r="M72" s="257">
        <f>SUM(M3:M71)</f>
        <v>2101</v>
      </c>
      <c r="N72" s="2">
        <f>SUM(N3:N71)</f>
        <v>1258</v>
      </c>
      <c r="O72" s="27">
        <f>SUM(O3:O71)</f>
        <v>843</v>
      </c>
      <c r="R72" s="263"/>
      <c r="S72" s="259"/>
      <c r="T72" s="215">
        <f>SUM(T3:T71)</f>
        <v>25290</v>
      </c>
      <c r="U72" s="259"/>
      <c r="V72" s="259"/>
      <c r="W72" s="256">
        <f>SUM(W3:W71)</f>
        <v>9018954</v>
      </c>
      <c r="X72" s="187">
        <f>SUM(X3:X71)</f>
        <v>27900</v>
      </c>
      <c r="Y72" s="259">
        <f>SUM(Y3:Y71)</f>
        <v>65503</v>
      </c>
      <c r="Z72" s="259"/>
      <c r="AA72" s="259">
        <f>SUM(AA3:AA71)</f>
        <v>6658595.6876426339</v>
      </c>
      <c r="AB72" s="215">
        <f>SUM(AB3:AB71)</f>
        <v>15677549.687642634</v>
      </c>
      <c r="AC72" s="259"/>
      <c r="AD72" s="257">
        <f>SUM(AD3:AD71)</f>
        <v>2101</v>
      </c>
      <c r="AE72" s="2">
        <f>SUM(AE3:AE71)</f>
        <v>1258</v>
      </c>
      <c r="AF72" s="27">
        <f>SUM(AF3:AF71)</f>
        <v>843</v>
      </c>
    </row>
    <row r="73" spans="1:32">
      <c r="AA73" s="39"/>
    </row>
    <row r="74" spans="1:32">
      <c r="I74" s="39"/>
    </row>
    <row r="75" spans="1:32">
      <c r="F75" s="262">
        <v>1710</v>
      </c>
    </row>
    <row r="76" spans="1:32">
      <c r="F76" s="263">
        <v>2008</v>
      </c>
    </row>
    <row r="77" spans="1:32">
      <c r="F77" s="263">
        <v>2370</v>
      </c>
    </row>
    <row r="78" spans="1:32">
      <c r="F78" s="263">
        <v>2262</v>
      </c>
    </row>
    <row r="79" spans="1:32">
      <c r="F79" s="263">
        <v>270</v>
      </c>
    </row>
    <row r="80" spans="1:32">
      <c r="F80" s="263">
        <v>716</v>
      </c>
    </row>
    <row r="81" spans="1:24">
      <c r="F81" s="263">
        <v>1020</v>
      </c>
      <c r="L81" s="652">
        <v>6</v>
      </c>
      <c r="M81" s="652"/>
      <c r="N81" s="652"/>
      <c r="O81" s="627" t="s">
        <v>312</v>
      </c>
      <c r="P81" s="627"/>
      <c r="Q81" s="627"/>
      <c r="R81" s="627"/>
      <c r="S81" s="627"/>
      <c r="T81" s="627" t="s">
        <v>313</v>
      </c>
      <c r="U81" s="627"/>
      <c r="V81" s="627"/>
      <c r="W81" s="627"/>
      <c r="X81" s="627"/>
    </row>
    <row r="82" spans="1:24">
      <c r="F82" s="263">
        <v>1140</v>
      </c>
      <c r="L82" s="652"/>
      <c r="M82" s="652"/>
      <c r="N82" s="652"/>
      <c r="O82" s="627"/>
      <c r="P82" s="627"/>
      <c r="Q82" s="627"/>
      <c r="R82" s="627"/>
      <c r="S82" s="627"/>
      <c r="T82" s="627"/>
      <c r="U82" s="627"/>
      <c r="V82" s="627"/>
      <c r="W82" s="627"/>
      <c r="X82" s="627"/>
    </row>
    <row r="83" spans="1:24" ht="30" customHeight="1">
      <c r="A83" s="653" t="s">
        <v>286</v>
      </c>
      <c r="B83" s="653"/>
      <c r="C83" s="653"/>
      <c r="D83" s="653"/>
      <c r="E83" s="653"/>
      <c r="F83" s="263">
        <v>1004</v>
      </c>
      <c r="L83" s="100" t="s">
        <v>0</v>
      </c>
      <c r="M83" s="100" t="s">
        <v>140</v>
      </c>
      <c r="N83" s="105" t="s">
        <v>125</v>
      </c>
      <c r="O83" s="646"/>
      <c r="P83" s="647"/>
      <c r="Q83" s="647"/>
      <c r="R83" s="648"/>
      <c r="S83" s="265" t="s">
        <v>251</v>
      </c>
      <c r="T83" s="649"/>
      <c r="U83" s="650"/>
      <c r="V83" s="650"/>
      <c r="W83" s="651"/>
      <c r="X83" s="265" t="s">
        <v>250</v>
      </c>
    </row>
    <row r="84" spans="1:24" ht="18.75" customHeight="1">
      <c r="A84" s="654"/>
      <c r="B84" s="654"/>
      <c r="C84" s="654"/>
      <c r="D84" s="654"/>
      <c r="E84" s="654"/>
      <c r="F84" s="263">
        <v>605</v>
      </c>
      <c r="L84" s="616" t="s">
        <v>292</v>
      </c>
      <c r="M84" s="268" t="s">
        <v>150</v>
      </c>
      <c r="N84" s="267">
        <v>57</v>
      </c>
      <c r="O84" s="646"/>
      <c r="P84" s="647"/>
      <c r="Q84" s="647"/>
      <c r="R84" s="648"/>
      <c r="S84" s="27">
        <f>N3</f>
        <v>35</v>
      </c>
      <c r="T84" s="649"/>
      <c r="U84" s="650"/>
      <c r="V84" s="650"/>
      <c r="W84" s="651"/>
      <c r="X84" s="74">
        <f>O3</f>
        <v>22</v>
      </c>
    </row>
    <row r="85" spans="1:24" ht="25.5" customHeight="1">
      <c r="A85" s="100" t="s">
        <v>0</v>
      </c>
      <c r="B85" s="100" t="s">
        <v>140</v>
      </c>
      <c r="C85" s="105" t="s">
        <v>125</v>
      </c>
      <c r="D85" s="105" t="s">
        <v>251</v>
      </c>
      <c r="E85" s="105" t="s">
        <v>250</v>
      </c>
      <c r="F85" s="263">
        <v>610</v>
      </c>
      <c r="L85" s="616"/>
      <c r="M85" s="268" t="s">
        <v>97</v>
      </c>
      <c r="N85" s="267">
        <v>67</v>
      </c>
      <c r="O85" s="646"/>
      <c r="P85" s="647"/>
      <c r="Q85" s="647"/>
      <c r="R85" s="648"/>
      <c r="S85" s="27">
        <f t="shared" ref="S85:S148" si="16">N4</f>
        <v>41</v>
      </c>
      <c r="T85" s="649"/>
      <c r="U85" s="650"/>
      <c r="V85" s="650"/>
      <c r="W85" s="651"/>
      <c r="X85" s="74">
        <f t="shared" ref="X85:X148" si="17">O4</f>
        <v>26</v>
      </c>
    </row>
    <row r="86" spans="1:24" ht="18.75">
      <c r="A86" s="616" t="s">
        <v>292</v>
      </c>
      <c r="B86" s="253" t="s">
        <v>150</v>
      </c>
      <c r="C86" s="254">
        <v>57</v>
      </c>
      <c r="D86" s="2">
        <v>29</v>
      </c>
      <c r="E86" s="27">
        <f>C86-D86</f>
        <v>28</v>
      </c>
      <c r="F86" s="263">
        <v>295</v>
      </c>
      <c r="L86" s="616"/>
      <c r="M86" s="268" t="s">
        <v>95</v>
      </c>
      <c r="N86" s="267">
        <v>79</v>
      </c>
      <c r="O86" s="646"/>
      <c r="P86" s="647"/>
      <c r="Q86" s="647"/>
      <c r="R86" s="648"/>
      <c r="S86" s="27">
        <f t="shared" si="16"/>
        <v>48</v>
      </c>
      <c r="T86" s="649"/>
      <c r="U86" s="650"/>
      <c r="V86" s="650"/>
      <c r="W86" s="651"/>
      <c r="X86" s="74">
        <f t="shared" si="17"/>
        <v>31</v>
      </c>
    </row>
    <row r="87" spans="1:24" ht="18.75">
      <c r="A87" s="616"/>
      <c r="B87" s="253" t="s">
        <v>97</v>
      </c>
      <c r="C87" s="254">
        <v>67</v>
      </c>
      <c r="D87" s="2">
        <v>34</v>
      </c>
      <c r="E87" s="27">
        <f t="shared" ref="E87:E150" si="18">C87-D87</f>
        <v>33</v>
      </c>
      <c r="F87" s="263">
        <v>338</v>
      </c>
      <c r="L87" s="616"/>
      <c r="M87" s="268" t="s">
        <v>298</v>
      </c>
      <c r="N87" s="267">
        <v>75</v>
      </c>
      <c r="O87" s="646"/>
      <c r="P87" s="647"/>
      <c r="Q87" s="647"/>
      <c r="R87" s="648"/>
      <c r="S87" s="27">
        <f t="shared" si="16"/>
        <v>45</v>
      </c>
      <c r="T87" s="649"/>
      <c r="U87" s="650"/>
      <c r="V87" s="650"/>
      <c r="W87" s="651"/>
      <c r="X87" s="74">
        <f t="shared" si="17"/>
        <v>30</v>
      </c>
    </row>
    <row r="88" spans="1:24" ht="18.75">
      <c r="A88" s="616"/>
      <c r="B88" s="253" t="s">
        <v>95</v>
      </c>
      <c r="C88" s="254">
        <v>79</v>
      </c>
      <c r="D88" s="2">
        <v>40</v>
      </c>
      <c r="E88" s="27">
        <f t="shared" si="18"/>
        <v>39</v>
      </c>
      <c r="F88" s="263">
        <v>286</v>
      </c>
      <c r="L88" s="616"/>
      <c r="M88" s="268" t="s">
        <v>299</v>
      </c>
      <c r="N88" s="267">
        <v>9</v>
      </c>
      <c r="O88" s="646"/>
      <c r="P88" s="647"/>
      <c r="Q88" s="647"/>
      <c r="R88" s="648"/>
      <c r="S88" s="27">
        <f t="shared" si="16"/>
        <v>6</v>
      </c>
      <c r="T88" s="649"/>
      <c r="U88" s="650"/>
      <c r="V88" s="650"/>
      <c r="W88" s="651"/>
      <c r="X88" s="74">
        <f t="shared" si="17"/>
        <v>3</v>
      </c>
    </row>
    <row r="89" spans="1:24" ht="18.75">
      <c r="A89" s="616"/>
      <c r="B89" s="253" t="s">
        <v>298</v>
      </c>
      <c r="C89" s="254">
        <v>75</v>
      </c>
      <c r="D89" s="2">
        <v>37</v>
      </c>
      <c r="E89" s="27">
        <f t="shared" si="18"/>
        <v>38</v>
      </c>
      <c r="F89" s="263">
        <v>301</v>
      </c>
      <c r="L89" s="616"/>
      <c r="M89" s="268" t="s">
        <v>100</v>
      </c>
      <c r="N89" s="267">
        <v>24</v>
      </c>
      <c r="O89" s="646"/>
      <c r="P89" s="647"/>
      <c r="Q89" s="647"/>
      <c r="R89" s="648"/>
      <c r="S89" s="27">
        <f t="shared" si="16"/>
        <v>15</v>
      </c>
      <c r="T89" s="649"/>
      <c r="U89" s="650"/>
      <c r="V89" s="650"/>
      <c r="W89" s="651"/>
      <c r="X89" s="74">
        <f t="shared" si="17"/>
        <v>9</v>
      </c>
    </row>
    <row r="90" spans="1:24" ht="18.75">
      <c r="A90" s="616"/>
      <c r="B90" s="253" t="s">
        <v>299</v>
      </c>
      <c r="C90" s="254">
        <v>9</v>
      </c>
      <c r="D90" s="2">
        <v>5</v>
      </c>
      <c r="E90" s="27">
        <f t="shared" si="18"/>
        <v>4</v>
      </c>
      <c r="F90" s="263">
        <v>825</v>
      </c>
      <c r="L90" s="616"/>
      <c r="M90" s="268" t="s">
        <v>101</v>
      </c>
      <c r="N90" s="267">
        <v>34</v>
      </c>
      <c r="O90" s="646"/>
      <c r="P90" s="647"/>
      <c r="Q90" s="647"/>
      <c r="R90" s="648"/>
      <c r="S90" s="27">
        <f t="shared" si="16"/>
        <v>21</v>
      </c>
      <c r="T90" s="649"/>
      <c r="U90" s="650"/>
      <c r="V90" s="650"/>
      <c r="W90" s="651"/>
      <c r="X90" s="74">
        <f t="shared" si="17"/>
        <v>13</v>
      </c>
    </row>
    <row r="91" spans="1:24" ht="18.75">
      <c r="A91" s="616"/>
      <c r="B91" s="253" t="s">
        <v>100</v>
      </c>
      <c r="C91" s="254">
        <v>24</v>
      </c>
      <c r="D91" s="2">
        <v>12</v>
      </c>
      <c r="E91" s="27">
        <f t="shared" si="18"/>
        <v>12</v>
      </c>
      <c r="F91" s="263">
        <v>502</v>
      </c>
      <c r="L91" s="616" t="s">
        <v>108</v>
      </c>
      <c r="M91" s="268" t="s">
        <v>98</v>
      </c>
      <c r="N91" s="267">
        <v>38</v>
      </c>
      <c r="O91" s="646"/>
      <c r="P91" s="647"/>
      <c r="Q91" s="647"/>
      <c r="R91" s="648"/>
      <c r="S91" s="27">
        <f t="shared" si="16"/>
        <v>23</v>
      </c>
      <c r="T91" s="649"/>
      <c r="U91" s="650"/>
      <c r="V91" s="650"/>
      <c r="W91" s="651"/>
      <c r="X91" s="74">
        <f t="shared" si="17"/>
        <v>15</v>
      </c>
    </row>
    <row r="92" spans="1:24" ht="18.75">
      <c r="A92" s="616"/>
      <c r="B92" s="253" t="s">
        <v>101</v>
      </c>
      <c r="C92" s="254">
        <v>34</v>
      </c>
      <c r="D92" s="2">
        <v>17</v>
      </c>
      <c r="E92" s="27">
        <f t="shared" si="18"/>
        <v>17</v>
      </c>
      <c r="F92" s="263">
        <v>205</v>
      </c>
      <c r="L92" s="616"/>
      <c r="M92" s="268" t="s">
        <v>150</v>
      </c>
      <c r="N92" s="267">
        <v>34</v>
      </c>
      <c r="O92" s="646"/>
      <c r="P92" s="647"/>
      <c r="Q92" s="647"/>
      <c r="R92" s="648"/>
      <c r="S92" s="27">
        <f t="shared" si="16"/>
        <v>21</v>
      </c>
      <c r="T92" s="649"/>
      <c r="U92" s="650"/>
      <c r="V92" s="650"/>
      <c r="W92" s="651"/>
      <c r="X92" s="74">
        <f t="shared" si="17"/>
        <v>13</v>
      </c>
    </row>
    <row r="93" spans="1:24" ht="18.75">
      <c r="A93" s="616" t="s">
        <v>108</v>
      </c>
      <c r="B93" s="253" t="s">
        <v>98</v>
      </c>
      <c r="C93" s="254">
        <v>38</v>
      </c>
      <c r="D93" s="2">
        <v>19</v>
      </c>
      <c r="E93" s="27">
        <f t="shared" si="18"/>
        <v>19</v>
      </c>
      <c r="F93" s="263">
        <v>344</v>
      </c>
      <c r="L93" s="616"/>
      <c r="M93" s="268" t="s">
        <v>95</v>
      </c>
      <c r="N93" s="267">
        <v>20</v>
      </c>
      <c r="O93" s="646"/>
      <c r="P93" s="647"/>
      <c r="Q93" s="647"/>
      <c r="R93" s="648"/>
      <c r="S93" s="27">
        <f t="shared" si="16"/>
        <v>12</v>
      </c>
      <c r="T93" s="649"/>
      <c r="U93" s="650"/>
      <c r="V93" s="650"/>
      <c r="W93" s="651"/>
      <c r="X93" s="74">
        <f t="shared" si="17"/>
        <v>8</v>
      </c>
    </row>
    <row r="94" spans="1:24" ht="18.75">
      <c r="A94" s="616"/>
      <c r="B94" s="253" t="s">
        <v>150</v>
      </c>
      <c r="C94" s="254">
        <v>34</v>
      </c>
      <c r="D94" s="2">
        <v>17</v>
      </c>
      <c r="E94" s="27">
        <f t="shared" si="18"/>
        <v>17</v>
      </c>
      <c r="F94" s="263">
        <v>520</v>
      </c>
      <c r="L94" s="616"/>
      <c r="M94" s="268" t="s">
        <v>97</v>
      </c>
      <c r="N94" s="267">
        <v>20</v>
      </c>
      <c r="O94" s="646"/>
      <c r="P94" s="647"/>
      <c r="Q94" s="647"/>
      <c r="R94" s="648"/>
      <c r="S94" s="27">
        <f t="shared" si="16"/>
        <v>12</v>
      </c>
      <c r="T94" s="649"/>
      <c r="U94" s="650"/>
      <c r="V94" s="650"/>
      <c r="W94" s="651"/>
      <c r="X94" s="74">
        <f t="shared" si="17"/>
        <v>8</v>
      </c>
    </row>
    <row r="95" spans="1:24" ht="18.75">
      <c r="A95" s="616"/>
      <c r="B95" s="253" t="s">
        <v>95</v>
      </c>
      <c r="C95" s="254">
        <v>20</v>
      </c>
      <c r="D95" s="2">
        <v>10</v>
      </c>
      <c r="E95" s="27">
        <f t="shared" si="18"/>
        <v>10</v>
      </c>
      <c r="F95" s="263">
        <v>329</v>
      </c>
      <c r="L95" s="616" t="s">
        <v>259</v>
      </c>
      <c r="M95" s="268" t="s">
        <v>98</v>
      </c>
      <c r="N95" s="267">
        <v>10</v>
      </c>
      <c r="O95" s="646"/>
      <c r="P95" s="647"/>
      <c r="Q95" s="647"/>
      <c r="R95" s="648"/>
      <c r="S95" s="27">
        <f t="shared" si="16"/>
        <v>7</v>
      </c>
      <c r="T95" s="649"/>
      <c r="U95" s="650"/>
      <c r="V95" s="650"/>
      <c r="W95" s="651"/>
      <c r="X95" s="74">
        <f t="shared" si="17"/>
        <v>3</v>
      </c>
    </row>
    <row r="96" spans="1:24" ht="18.75">
      <c r="A96" s="616"/>
      <c r="B96" s="253" t="s">
        <v>97</v>
      </c>
      <c r="C96" s="254">
        <v>20</v>
      </c>
      <c r="D96" s="2">
        <v>10</v>
      </c>
      <c r="E96" s="27">
        <f t="shared" si="18"/>
        <v>10</v>
      </c>
      <c r="F96" s="263">
        <v>271</v>
      </c>
      <c r="L96" s="616"/>
      <c r="M96" s="268" t="s">
        <v>150</v>
      </c>
      <c r="N96" s="267">
        <v>11</v>
      </c>
      <c r="O96" s="646"/>
      <c r="P96" s="647"/>
      <c r="Q96" s="647"/>
      <c r="R96" s="648"/>
      <c r="S96" s="27">
        <f t="shared" si="16"/>
        <v>7</v>
      </c>
      <c r="T96" s="649"/>
      <c r="U96" s="650"/>
      <c r="V96" s="650"/>
      <c r="W96" s="651"/>
      <c r="X96" s="74">
        <f t="shared" si="17"/>
        <v>4</v>
      </c>
    </row>
    <row r="97" spans="1:24" ht="18.75">
      <c r="A97" s="616" t="s">
        <v>259</v>
      </c>
      <c r="B97" s="253" t="s">
        <v>98</v>
      </c>
      <c r="C97" s="254">
        <v>10</v>
      </c>
      <c r="D97" s="2">
        <v>5</v>
      </c>
      <c r="E97" s="27">
        <f t="shared" si="18"/>
        <v>5</v>
      </c>
      <c r="F97" s="263">
        <v>266</v>
      </c>
      <c r="L97" s="616"/>
      <c r="M97" s="268" t="s">
        <v>95</v>
      </c>
      <c r="N97" s="267">
        <v>10</v>
      </c>
      <c r="O97" s="646"/>
      <c r="P97" s="647"/>
      <c r="Q97" s="647"/>
      <c r="R97" s="648"/>
      <c r="S97" s="27">
        <f t="shared" si="16"/>
        <v>7</v>
      </c>
      <c r="T97" s="649"/>
      <c r="U97" s="650"/>
      <c r="V97" s="650"/>
      <c r="W97" s="651"/>
      <c r="X97" s="74">
        <f t="shared" si="17"/>
        <v>3</v>
      </c>
    </row>
    <row r="98" spans="1:24" ht="18.75">
      <c r="A98" s="616"/>
      <c r="B98" s="253" t="s">
        <v>150</v>
      </c>
      <c r="C98" s="254">
        <v>11</v>
      </c>
      <c r="D98" s="2">
        <v>6</v>
      </c>
      <c r="E98" s="27">
        <f t="shared" si="18"/>
        <v>5</v>
      </c>
      <c r="F98" s="263">
        <v>568</v>
      </c>
      <c r="L98" s="616"/>
      <c r="M98" s="268" t="s">
        <v>96</v>
      </c>
      <c r="N98" s="267">
        <v>10</v>
      </c>
      <c r="O98" s="646"/>
      <c r="P98" s="647"/>
      <c r="Q98" s="647"/>
      <c r="R98" s="648"/>
      <c r="S98" s="27">
        <f t="shared" si="16"/>
        <v>6</v>
      </c>
      <c r="T98" s="649"/>
      <c r="U98" s="650"/>
      <c r="V98" s="650"/>
      <c r="W98" s="651"/>
      <c r="X98" s="74">
        <f t="shared" si="17"/>
        <v>4</v>
      </c>
    </row>
    <row r="99" spans="1:24" ht="18.75" customHeight="1">
      <c r="A99" s="616"/>
      <c r="B99" s="253" t="s">
        <v>95</v>
      </c>
      <c r="C99" s="254">
        <v>10</v>
      </c>
      <c r="D99" s="2">
        <v>5</v>
      </c>
      <c r="E99" s="27">
        <f t="shared" si="18"/>
        <v>5</v>
      </c>
      <c r="F99" s="263">
        <v>513</v>
      </c>
      <c r="L99" s="616" t="s">
        <v>293</v>
      </c>
      <c r="M99" s="268" t="s">
        <v>94</v>
      </c>
      <c r="N99" s="267">
        <v>28</v>
      </c>
      <c r="O99" s="646"/>
      <c r="P99" s="647"/>
      <c r="Q99" s="647"/>
      <c r="R99" s="648"/>
      <c r="S99" s="27">
        <f t="shared" si="16"/>
        <v>17</v>
      </c>
      <c r="T99" s="649"/>
      <c r="U99" s="650"/>
      <c r="V99" s="650"/>
      <c r="W99" s="651"/>
      <c r="X99" s="74">
        <f t="shared" si="17"/>
        <v>11</v>
      </c>
    </row>
    <row r="100" spans="1:24" ht="18.75">
      <c r="A100" s="616"/>
      <c r="B100" s="253" t="s">
        <v>96</v>
      </c>
      <c r="C100" s="254">
        <v>10</v>
      </c>
      <c r="D100" s="2">
        <v>5</v>
      </c>
      <c r="E100" s="27">
        <f t="shared" si="18"/>
        <v>5</v>
      </c>
      <c r="F100" s="263">
        <v>560</v>
      </c>
      <c r="L100" s="616"/>
      <c r="M100" s="268" t="s">
        <v>96</v>
      </c>
      <c r="N100" s="267">
        <v>17</v>
      </c>
      <c r="O100" s="646"/>
      <c r="P100" s="647"/>
      <c r="Q100" s="647"/>
      <c r="R100" s="648"/>
      <c r="S100" s="27">
        <f t="shared" si="16"/>
        <v>11</v>
      </c>
      <c r="T100" s="649"/>
      <c r="U100" s="650"/>
      <c r="V100" s="650"/>
      <c r="W100" s="651"/>
      <c r="X100" s="74">
        <f t="shared" si="17"/>
        <v>6</v>
      </c>
    </row>
    <row r="101" spans="1:24" ht="18.75" customHeight="1">
      <c r="A101" s="616" t="s">
        <v>293</v>
      </c>
      <c r="B101" s="253" t="s">
        <v>94</v>
      </c>
      <c r="C101" s="254">
        <v>28</v>
      </c>
      <c r="D101" s="2">
        <v>14</v>
      </c>
      <c r="E101" s="27">
        <f t="shared" si="18"/>
        <v>14</v>
      </c>
      <c r="F101" s="263">
        <v>560</v>
      </c>
      <c r="L101" s="616"/>
      <c r="M101" s="268" t="s">
        <v>95</v>
      </c>
      <c r="N101" s="267">
        <v>7</v>
      </c>
      <c r="O101" s="646"/>
      <c r="P101" s="647"/>
      <c r="Q101" s="647"/>
      <c r="R101" s="648"/>
      <c r="S101" s="27">
        <f t="shared" si="16"/>
        <v>5</v>
      </c>
      <c r="T101" s="649"/>
      <c r="U101" s="650"/>
      <c r="V101" s="650"/>
      <c r="W101" s="651"/>
      <c r="X101" s="74">
        <f t="shared" si="17"/>
        <v>2</v>
      </c>
    </row>
    <row r="102" spans="1:24" ht="18.75">
      <c r="A102" s="616"/>
      <c r="B102" s="253" t="s">
        <v>96</v>
      </c>
      <c r="C102" s="254">
        <v>17</v>
      </c>
      <c r="D102" s="2">
        <v>9</v>
      </c>
      <c r="E102" s="27">
        <f t="shared" si="18"/>
        <v>8</v>
      </c>
      <c r="F102" s="263">
        <v>535</v>
      </c>
      <c r="L102" s="616" t="s">
        <v>263</v>
      </c>
      <c r="M102" s="268" t="s">
        <v>96</v>
      </c>
      <c r="N102" s="267">
        <v>11</v>
      </c>
      <c r="O102" s="646"/>
      <c r="P102" s="647"/>
      <c r="Q102" s="647"/>
      <c r="R102" s="648"/>
      <c r="S102" s="27">
        <f t="shared" si="16"/>
        <v>7</v>
      </c>
      <c r="T102" s="649"/>
      <c r="U102" s="650"/>
      <c r="V102" s="650"/>
      <c r="W102" s="651"/>
      <c r="X102" s="74">
        <f t="shared" si="17"/>
        <v>4</v>
      </c>
    </row>
    <row r="103" spans="1:24" ht="18.75">
      <c r="A103" s="616"/>
      <c r="B103" s="253" t="s">
        <v>95</v>
      </c>
      <c r="C103" s="254">
        <v>7</v>
      </c>
      <c r="D103" s="2">
        <v>4</v>
      </c>
      <c r="E103" s="27">
        <f t="shared" si="18"/>
        <v>3</v>
      </c>
      <c r="F103" s="263">
        <v>529</v>
      </c>
      <c r="L103" s="616"/>
      <c r="M103" s="268" t="s">
        <v>272</v>
      </c>
      <c r="N103" s="267">
        <v>17</v>
      </c>
      <c r="O103" s="646"/>
      <c r="P103" s="647"/>
      <c r="Q103" s="647"/>
      <c r="R103" s="648"/>
      <c r="S103" s="27">
        <f t="shared" si="16"/>
        <v>10</v>
      </c>
      <c r="T103" s="649"/>
      <c r="U103" s="650"/>
      <c r="V103" s="650"/>
      <c r="W103" s="651"/>
      <c r="X103" s="74">
        <f t="shared" si="17"/>
        <v>7</v>
      </c>
    </row>
    <row r="104" spans="1:24" ht="18.75">
      <c r="A104" s="616" t="s">
        <v>263</v>
      </c>
      <c r="B104" s="253" t="s">
        <v>96</v>
      </c>
      <c r="C104" s="254">
        <v>11</v>
      </c>
      <c r="D104" s="2">
        <v>6</v>
      </c>
      <c r="E104" s="27">
        <f t="shared" si="18"/>
        <v>5</v>
      </c>
      <c r="F104" s="263">
        <v>979</v>
      </c>
      <c r="L104" s="616"/>
      <c r="M104" s="268" t="s">
        <v>95</v>
      </c>
      <c r="N104" s="267">
        <v>11</v>
      </c>
      <c r="O104" s="646"/>
      <c r="P104" s="647"/>
      <c r="Q104" s="647"/>
      <c r="R104" s="648"/>
      <c r="S104" s="27">
        <f t="shared" si="16"/>
        <v>7</v>
      </c>
      <c r="T104" s="649"/>
      <c r="U104" s="650"/>
      <c r="V104" s="650"/>
      <c r="W104" s="651"/>
      <c r="X104" s="74">
        <f t="shared" si="17"/>
        <v>4</v>
      </c>
    </row>
    <row r="105" spans="1:24" ht="18.75">
      <c r="A105" s="616"/>
      <c r="B105" s="253" t="s">
        <v>272</v>
      </c>
      <c r="C105" s="254">
        <v>17</v>
      </c>
      <c r="D105" s="2">
        <v>9</v>
      </c>
      <c r="E105" s="27">
        <f t="shared" si="18"/>
        <v>8</v>
      </c>
      <c r="F105" s="263">
        <v>832</v>
      </c>
      <c r="L105" s="616"/>
      <c r="M105" s="268" t="s">
        <v>270</v>
      </c>
      <c r="N105" s="267">
        <v>9</v>
      </c>
      <c r="O105" s="646"/>
      <c r="P105" s="647"/>
      <c r="Q105" s="647"/>
      <c r="R105" s="648"/>
      <c r="S105" s="27">
        <f t="shared" si="16"/>
        <v>6</v>
      </c>
      <c r="T105" s="649"/>
      <c r="U105" s="650"/>
      <c r="V105" s="650"/>
      <c r="W105" s="651"/>
      <c r="X105" s="74">
        <f t="shared" si="17"/>
        <v>3</v>
      </c>
    </row>
    <row r="106" spans="1:24" ht="18.75" customHeight="1">
      <c r="A106" s="616"/>
      <c r="B106" s="253" t="s">
        <v>95</v>
      </c>
      <c r="C106" s="254">
        <v>11</v>
      </c>
      <c r="D106" s="2">
        <v>6</v>
      </c>
      <c r="E106" s="27">
        <f t="shared" si="18"/>
        <v>5</v>
      </c>
      <c r="F106" s="263">
        <v>570</v>
      </c>
      <c r="L106" s="616"/>
      <c r="M106" s="268" t="s">
        <v>97</v>
      </c>
      <c r="N106" s="267">
        <v>9</v>
      </c>
      <c r="O106" s="646"/>
      <c r="P106" s="647"/>
      <c r="Q106" s="647"/>
      <c r="R106" s="648"/>
      <c r="S106" s="27">
        <f t="shared" si="16"/>
        <v>6</v>
      </c>
      <c r="T106" s="649"/>
      <c r="U106" s="650"/>
      <c r="V106" s="650"/>
      <c r="W106" s="651"/>
      <c r="X106" s="74">
        <f t="shared" si="17"/>
        <v>3</v>
      </c>
    </row>
    <row r="107" spans="1:24" ht="18.75">
      <c r="A107" s="616"/>
      <c r="B107" s="253" t="s">
        <v>270</v>
      </c>
      <c r="C107" s="254">
        <v>9</v>
      </c>
      <c r="D107" s="2">
        <v>5</v>
      </c>
      <c r="E107" s="27">
        <f t="shared" si="18"/>
        <v>4</v>
      </c>
      <c r="F107" s="263">
        <v>649</v>
      </c>
      <c r="L107" s="624">
        <v>23400</v>
      </c>
      <c r="M107" s="268" t="s">
        <v>102</v>
      </c>
      <c r="N107" s="267">
        <v>19</v>
      </c>
      <c r="O107" s="646"/>
      <c r="P107" s="647"/>
      <c r="Q107" s="647"/>
      <c r="R107" s="648"/>
      <c r="S107" s="27">
        <f t="shared" si="16"/>
        <v>12</v>
      </c>
      <c r="T107" s="649"/>
      <c r="U107" s="650"/>
      <c r="V107" s="650"/>
      <c r="W107" s="651"/>
      <c r="X107" s="74">
        <f t="shared" si="17"/>
        <v>7</v>
      </c>
    </row>
    <row r="108" spans="1:24" ht="18.75">
      <c r="A108" s="616"/>
      <c r="B108" s="253" t="s">
        <v>97</v>
      </c>
      <c r="C108" s="254">
        <v>9</v>
      </c>
      <c r="D108" s="2">
        <v>5</v>
      </c>
      <c r="E108" s="27">
        <f t="shared" si="18"/>
        <v>4</v>
      </c>
      <c r="F108" s="263">
        <v>611</v>
      </c>
      <c r="L108" s="624"/>
      <c r="M108" s="268" t="s">
        <v>300</v>
      </c>
      <c r="N108" s="267">
        <v>17</v>
      </c>
      <c r="O108" s="646"/>
      <c r="P108" s="647"/>
      <c r="Q108" s="647"/>
      <c r="R108" s="648"/>
      <c r="S108" s="27">
        <f t="shared" si="16"/>
        <v>10</v>
      </c>
      <c r="T108" s="649"/>
      <c r="U108" s="650"/>
      <c r="V108" s="650"/>
      <c r="W108" s="651"/>
      <c r="X108" s="74">
        <f t="shared" si="17"/>
        <v>7</v>
      </c>
    </row>
    <row r="109" spans="1:24" ht="18.75">
      <c r="A109" s="624">
        <v>23400</v>
      </c>
      <c r="B109" s="253" t="s">
        <v>102</v>
      </c>
      <c r="C109" s="254">
        <v>19</v>
      </c>
      <c r="D109" s="2">
        <v>10</v>
      </c>
      <c r="E109" s="27">
        <f t="shared" si="18"/>
        <v>9</v>
      </c>
      <c r="F109" s="263">
        <v>861</v>
      </c>
      <c r="L109" s="624"/>
      <c r="M109" s="268" t="s">
        <v>244</v>
      </c>
      <c r="N109" s="267">
        <v>19</v>
      </c>
      <c r="O109" s="646"/>
      <c r="P109" s="647"/>
      <c r="Q109" s="647"/>
      <c r="R109" s="648"/>
      <c r="S109" s="27">
        <f t="shared" si="16"/>
        <v>12</v>
      </c>
      <c r="T109" s="649"/>
      <c r="U109" s="650"/>
      <c r="V109" s="650"/>
      <c r="W109" s="651"/>
      <c r="X109" s="74">
        <f t="shared" si="17"/>
        <v>7</v>
      </c>
    </row>
    <row r="110" spans="1:24" ht="18.75">
      <c r="A110" s="624"/>
      <c r="B110" s="253" t="s">
        <v>300</v>
      </c>
      <c r="C110" s="254">
        <v>17</v>
      </c>
      <c r="D110" s="2">
        <v>9</v>
      </c>
      <c r="E110" s="27">
        <f t="shared" si="18"/>
        <v>8</v>
      </c>
      <c r="F110" s="263">
        <v>582</v>
      </c>
      <c r="L110" s="624"/>
      <c r="M110" s="268" t="s">
        <v>301</v>
      </c>
      <c r="N110" s="267">
        <v>19</v>
      </c>
      <c r="O110" s="646"/>
      <c r="P110" s="647"/>
      <c r="Q110" s="647"/>
      <c r="R110" s="648"/>
      <c r="S110" s="27">
        <f t="shared" si="16"/>
        <v>12</v>
      </c>
      <c r="T110" s="649"/>
      <c r="U110" s="650"/>
      <c r="V110" s="650"/>
      <c r="W110" s="651"/>
      <c r="X110" s="74">
        <f t="shared" si="17"/>
        <v>7</v>
      </c>
    </row>
    <row r="111" spans="1:24" ht="18.75">
      <c r="A111" s="624"/>
      <c r="B111" s="253" t="s">
        <v>244</v>
      </c>
      <c r="C111" s="254">
        <v>19</v>
      </c>
      <c r="D111" s="2">
        <v>10</v>
      </c>
      <c r="E111" s="27">
        <f t="shared" si="18"/>
        <v>9</v>
      </c>
      <c r="F111" s="263">
        <v>532</v>
      </c>
      <c r="L111" s="624"/>
      <c r="M111" s="268" t="s">
        <v>302</v>
      </c>
      <c r="N111" s="267">
        <v>18</v>
      </c>
      <c r="O111" s="646"/>
      <c r="P111" s="647"/>
      <c r="Q111" s="647"/>
      <c r="R111" s="648"/>
      <c r="S111" s="27">
        <f t="shared" si="16"/>
        <v>11</v>
      </c>
      <c r="T111" s="649"/>
      <c r="U111" s="650"/>
      <c r="V111" s="650"/>
      <c r="W111" s="651"/>
      <c r="X111" s="74">
        <f t="shared" si="17"/>
        <v>7</v>
      </c>
    </row>
    <row r="112" spans="1:24" ht="18.75">
      <c r="A112" s="624"/>
      <c r="B112" s="253" t="s">
        <v>301</v>
      </c>
      <c r="C112" s="254">
        <v>19</v>
      </c>
      <c r="D112" s="2">
        <v>10</v>
      </c>
      <c r="E112" s="27">
        <f t="shared" si="18"/>
        <v>9</v>
      </c>
      <c r="F112" s="263">
        <v>1393</v>
      </c>
      <c r="L112" s="624"/>
      <c r="M112" s="268" t="s">
        <v>151</v>
      </c>
      <c r="N112" s="267">
        <v>18</v>
      </c>
      <c r="O112" s="646"/>
      <c r="P112" s="647"/>
      <c r="Q112" s="647"/>
      <c r="R112" s="648"/>
      <c r="S112" s="27">
        <f t="shared" si="16"/>
        <v>11</v>
      </c>
      <c r="T112" s="649"/>
      <c r="U112" s="650"/>
      <c r="V112" s="650"/>
      <c r="W112" s="651"/>
      <c r="X112" s="74">
        <f t="shared" si="17"/>
        <v>7</v>
      </c>
    </row>
    <row r="113" spans="1:24" ht="18.75">
      <c r="A113" s="624"/>
      <c r="B113" s="253" t="s">
        <v>302</v>
      </c>
      <c r="C113" s="254">
        <v>18</v>
      </c>
      <c r="D113" s="2">
        <v>9</v>
      </c>
      <c r="E113" s="27">
        <f t="shared" si="18"/>
        <v>9</v>
      </c>
      <c r="F113" s="263">
        <v>2133</v>
      </c>
      <c r="L113" s="624" t="s">
        <v>294</v>
      </c>
      <c r="M113" s="268" t="s">
        <v>114</v>
      </c>
      <c r="N113" s="267">
        <v>33</v>
      </c>
      <c r="O113" s="646"/>
      <c r="P113" s="647"/>
      <c r="Q113" s="647"/>
      <c r="R113" s="648"/>
      <c r="S113" s="27">
        <f t="shared" si="16"/>
        <v>20</v>
      </c>
      <c r="T113" s="649"/>
      <c r="U113" s="650"/>
      <c r="V113" s="650"/>
      <c r="W113" s="651"/>
      <c r="X113" s="74">
        <f t="shared" si="17"/>
        <v>13</v>
      </c>
    </row>
    <row r="114" spans="1:24" ht="18.75">
      <c r="A114" s="624"/>
      <c r="B114" s="253" t="s">
        <v>151</v>
      </c>
      <c r="C114" s="254">
        <v>18</v>
      </c>
      <c r="D114" s="2">
        <v>9</v>
      </c>
      <c r="E114" s="27">
        <f t="shared" si="18"/>
        <v>9</v>
      </c>
      <c r="F114" s="263">
        <v>2118</v>
      </c>
      <c r="L114" s="624"/>
      <c r="M114" s="268" t="s">
        <v>303</v>
      </c>
      <c r="N114" s="267">
        <v>28</v>
      </c>
      <c r="O114" s="646"/>
      <c r="P114" s="647"/>
      <c r="Q114" s="647"/>
      <c r="R114" s="648"/>
      <c r="S114" s="27">
        <f t="shared" si="16"/>
        <v>17</v>
      </c>
      <c r="T114" s="649"/>
      <c r="U114" s="650"/>
      <c r="V114" s="650"/>
      <c r="W114" s="651"/>
      <c r="X114" s="74">
        <f t="shared" si="17"/>
        <v>11</v>
      </c>
    </row>
    <row r="115" spans="1:24" ht="18.75">
      <c r="A115" s="624" t="s">
        <v>294</v>
      </c>
      <c r="B115" s="253" t="s">
        <v>114</v>
      </c>
      <c r="C115" s="254">
        <v>33</v>
      </c>
      <c r="D115" s="2">
        <v>17</v>
      </c>
      <c r="E115" s="27">
        <f t="shared" si="18"/>
        <v>16</v>
      </c>
      <c r="F115" s="263">
        <v>1212</v>
      </c>
      <c r="L115" s="624"/>
      <c r="M115" s="268" t="s">
        <v>304</v>
      </c>
      <c r="N115" s="267">
        <v>19</v>
      </c>
      <c r="O115" s="646"/>
      <c r="P115" s="647"/>
      <c r="Q115" s="647"/>
      <c r="R115" s="648"/>
      <c r="S115" s="27">
        <f t="shared" si="16"/>
        <v>12</v>
      </c>
      <c r="T115" s="649"/>
      <c r="U115" s="650"/>
      <c r="V115" s="650"/>
      <c r="W115" s="651"/>
      <c r="X115" s="74">
        <f t="shared" si="17"/>
        <v>7</v>
      </c>
    </row>
    <row r="116" spans="1:24" ht="18.75" customHeight="1">
      <c r="A116" s="624"/>
      <c r="B116" s="253" t="s">
        <v>303</v>
      </c>
      <c r="C116" s="254">
        <v>28</v>
      </c>
      <c r="D116" s="2">
        <v>14</v>
      </c>
      <c r="E116" s="27">
        <f t="shared" si="18"/>
        <v>14</v>
      </c>
      <c r="F116" s="263">
        <v>2067</v>
      </c>
      <c r="L116" s="624"/>
      <c r="M116" s="268" t="s">
        <v>305</v>
      </c>
      <c r="N116" s="267">
        <v>22</v>
      </c>
      <c r="O116" s="646"/>
      <c r="P116" s="647"/>
      <c r="Q116" s="647"/>
      <c r="R116" s="648"/>
      <c r="S116" s="27">
        <f t="shared" si="16"/>
        <v>14</v>
      </c>
      <c r="T116" s="649"/>
      <c r="U116" s="650"/>
      <c r="V116" s="650"/>
      <c r="W116" s="651"/>
      <c r="X116" s="74">
        <f t="shared" si="17"/>
        <v>8</v>
      </c>
    </row>
    <row r="117" spans="1:24" ht="18.75">
      <c r="A117" s="624"/>
      <c r="B117" s="253" t="s">
        <v>304</v>
      </c>
      <c r="C117" s="254">
        <v>19</v>
      </c>
      <c r="D117" s="2">
        <v>10</v>
      </c>
      <c r="E117" s="27">
        <f t="shared" si="18"/>
        <v>9</v>
      </c>
      <c r="F117" s="263">
        <v>1405</v>
      </c>
      <c r="L117" s="624"/>
      <c r="M117" s="268" t="s">
        <v>306</v>
      </c>
      <c r="N117" s="267">
        <v>20</v>
      </c>
      <c r="O117" s="646"/>
      <c r="P117" s="647"/>
      <c r="Q117" s="647"/>
      <c r="R117" s="648"/>
      <c r="S117" s="27">
        <f t="shared" si="16"/>
        <v>12</v>
      </c>
      <c r="T117" s="649"/>
      <c r="U117" s="650"/>
      <c r="V117" s="650"/>
      <c r="W117" s="651"/>
      <c r="X117" s="74">
        <f t="shared" si="17"/>
        <v>8</v>
      </c>
    </row>
    <row r="118" spans="1:24" ht="18.75">
      <c r="A118" s="624"/>
      <c r="B118" s="253" t="s">
        <v>305</v>
      </c>
      <c r="C118" s="254">
        <v>22</v>
      </c>
      <c r="D118" s="2">
        <v>11</v>
      </c>
      <c r="E118" s="27">
        <f t="shared" si="18"/>
        <v>11</v>
      </c>
      <c r="F118" s="263">
        <v>990</v>
      </c>
      <c r="L118" s="624"/>
      <c r="M118" s="268" t="s">
        <v>307</v>
      </c>
      <c r="N118" s="267">
        <v>29</v>
      </c>
      <c r="O118" s="646"/>
      <c r="P118" s="647"/>
      <c r="Q118" s="647"/>
      <c r="R118" s="648"/>
      <c r="S118" s="27">
        <f t="shared" si="16"/>
        <v>18</v>
      </c>
      <c r="T118" s="649"/>
      <c r="U118" s="650"/>
      <c r="V118" s="650"/>
      <c r="W118" s="651"/>
      <c r="X118" s="74">
        <f t="shared" si="17"/>
        <v>11</v>
      </c>
    </row>
    <row r="119" spans="1:24" ht="18.75" customHeight="1">
      <c r="A119" s="624"/>
      <c r="B119" s="253" t="s">
        <v>306</v>
      </c>
      <c r="C119" s="254">
        <v>20</v>
      </c>
      <c r="D119" s="2">
        <v>10</v>
      </c>
      <c r="E119" s="27">
        <f t="shared" si="18"/>
        <v>10</v>
      </c>
      <c r="F119" s="263">
        <v>1041</v>
      </c>
      <c r="L119" s="624"/>
      <c r="M119" s="268" t="s">
        <v>151</v>
      </c>
      <c r="N119" s="267">
        <v>20</v>
      </c>
      <c r="O119" s="646"/>
      <c r="P119" s="647"/>
      <c r="Q119" s="647"/>
      <c r="R119" s="648"/>
      <c r="S119" s="27">
        <f t="shared" si="16"/>
        <v>13</v>
      </c>
      <c r="T119" s="649"/>
      <c r="U119" s="650"/>
      <c r="V119" s="650"/>
      <c r="W119" s="651"/>
      <c r="X119" s="74">
        <f t="shared" si="17"/>
        <v>7</v>
      </c>
    </row>
    <row r="120" spans="1:24" ht="18.75">
      <c r="A120" s="624"/>
      <c r="B120" s="253" t="s">
        <v>307</v>
      </c>
      <c r="C120" s="254">
        <v>29</v>
      </c>
      <c r="D120" s="2">
        <v>15</v>
      </c>
      <c r="E120" s="27">
        <f t="shared" si="18"/>
        <v>14</v>
      </c>
      <c r="F120" s="263">
        <v>1122</v>
      </c>
      <c r="L120" s="624"/>
      <c r="M120" s="268" t="s">
        <v>283</v>
      </c>
      <c r="N120" s="267">
        <v>18</v>
      </c>
      <c r="O120" s="646"/>
      <c r="P120" s="647"/>
      <c r="Q120" s="647"/>
      <c r="R120" s="648"/>
      <c r="S120" s="27">
        <f t="shared" si="16"/>
        <v>11</v>
      </c>
      <c r="T120" s="649"/>
      <c r="U120" s="650"/>
      <c r="V120" s="650"/>
      <c r="W120" s="651"/>
      <c r="X120" s="74">
        <f t="shared" si="17"/>
        <v>7</v>
      </c>
    </row>
    <row r="121" spans="1:24" ht="18.75">
      <c r="A121" s="624"/>
      <c r="B121" s="253" t="s">
        <v>151</v>
      </c>
      <c r="C121" s="254">
        <v>20</v>
      </c>
      <c r="D121" s="2">
        <v>10</v>
      </c>
      <c r="E121" s="27">
        <f t="shared" si="18"/>
        <v>10</v>
      </c>
      <c r="F121" s="263">
        <v>1009</v>
      </c>
      <c r="L121" s="624"/>
      <c r="M121" s="268" t="s">
        <v>95</v>
      </c>
      <c r="N121" s="267">
        <v>46</v>
      </c>
      <c r="O121" s="646"/>
      <c r="P121" s="647"/>
      <c r="Q121" s="647"/>
      <c r="R121" s="648"/>
      <c r="S121" s="27">
        <f t="shared" si="16"/>
        <v>28</v>
      </c>
      <c r="T121" s="649"/>
      <c r="U121" s="650"/>
      <c r="V121" s="650"/>
      <c r="W121" s="651"/>
      <c r="X121" s="74">
        <f t="shared" si="17"/>
        <v>18</v>
      </c>
    </row>
    <row r="122" spans="1:24" ht="18.75">
      <c r="A122" s="624"/>
      <c r="B122" s="253" t="s">
        <v>283</v>
      </c>
      <c r="C122" s="254">
        <v>18</v>
      </c>
      <c r="D122" s="2">
        <v>9</v>
      </c>
      <c r="E122" s="27">
        <f t="shared" si="18"/>
        <v>9</v>
      </c>
      <c r="F122" s="263">
        <v>1053</v>
      </c>
      <c r="L122" s="624"/>
      <c r="M122" s="268" t="s">
        <v>101</v>
      </c>
      <c r="N122" s="267">
        <v>71</v>
      </c>
      <c r="O122" s="646"/>
      <c r="P122" s="647"/>
      <c r="Q122" s="647"/>
      <c r="R122" s="648"/>
      <c r="S122" s="27">
        <f t="shared" si="16"/>
        <v>43</v>
      </c>
      <c r="T122" s="649"/>
      <c r="U122" s="650"/>
      <c r="V122" s="650"/>
      <c r="W122" s="651"/>
      <c r="X122" s="74">
        <f t="shared" si="17"/>
        <v>28</v>
      </c>
    </row>
    <row r="123" spans="1:24" ht="18.75">
      <c r="A123" s="624"/>
      <c r="B123" s="253" t="s">
        <v>95</v>
      </c>
      <c r="C123" s="254">
        <v>46</v>
      </c>
      <c r="D123" s="2">
        <v>23</v>
      </c>
      <c r="E123" s="27">
        <f t="shared" si="18"/>
        <v>23</v>
      </c>
      <c r="F123" s="263">
        <v>930</v>
      </c>
      <c r="L123" s="624"/>
      <c r="M123" s="268" t="s">
        <v>282</v>
      </c>
      <c r="N123" s="267">
        <v>71</v>
      </c>
      <c r="O123" s="646"/>
      <c r="P123" s="647"/>
      <c r="Q123" s="647"/>
      <c r="R123" s="648"/>
      <c r="S123" s="27">
        <f t="shared" si="16"/>
        <v>43</v>
      </c>
      <c r="T123" s="649"/>
      <c r="U123" s="650"/>
      <c r="V123" s="650"/>
      <c r="W123" s="651"/>
      <c r="X123" s="74">
        <f t="shared" si="17"/>
        <v>28</v>
      </c>
    </row>
    <row r="124" spans="1:24" ht="18.75">
      <c r="A124" s="624"/>
      <c r="B124" s="253" t="s">
        <v>101</v>
      </c>
      <c r="C124" s="254">
        <v>71</v>
      </c>
      <c r="D124" s="2">
        <v>36</v>
      </c>
      <c r="E124" s="27">
        <f t="shared" si="18"/>
        <v>35</v>
      </c>
      <c r="F124" s="263">
        <v>949</v>
      </c>
      <c r="L124" s="624"/>
      <c r="M124" s="268" t="s">
        <v>150</v>
      </c>
      <c r="N124" s="267">
        <v>40</v>
      </c>
      <c r="O124" s="646"/>
      <c r="P124" s="647"/>
      <c r="Q124" s="647"/>
      <c r="R124" s="648"/>
      <c r="S124" s="27">
        <f t="shared" si="16"/>
        <v>24</v>
      </c>
      <c r="T124" s="649"/>
      <c r="U124" s="650"/>
      <c r="V124" s="650"/>
      <c r="W124" s="651"/>
      <c r="X124" s="74">
        <f t="shared" si="17"/>
        <v>16</v>
      </c>
    </row>
    <row r="125" spans="1:24" ht="18.75">
      <c r="A125" s="624"/>
      <c r="B125" s="253" t="s">
        <v>282</v>
      </c>
      <c r="C125" s="254">
        <v>71</v>
      </c>
      <c r="D125" s="2">
        <v>36</v>
      </c>
      <c r="E125" s="27">
        <f t="shared" si="18"/>
        <v>35</v>
      </c>
      <c r="F125" s="263">
        <v>1008</v>
      </c>
      <c r="L125" s="268">
        <v>192</v>
      </c>
      <c r="M125" s="268" t="s">
        <v>94</v>
      </c>
      <c r="N125" s="267">
        <v>69</v>
      </c>
      <c r="O125" s="646"/>
      <c r="P125" s="647"/>
      <c r="Q125" s="647"/>
      <c r="R125" s="648"/>
      <c r="S125" s="27">
        <f t="shared" si="16"/>
        <v>42</v>
      </c>
      <c r="T125" s="649"/>
      <c r="U125" s="650"/>
      <c r="V125" s="650"/>
      <c r="W125" s="651"/>
      <c r="X125" s="74">
        <f t="shared" si="17"/>
        <v>27</v>
      </c>
    </row>
    <row r="126" spans="1:24" ht="18.75">
      <c r="A126" s="624"/>
      <c r="B126" s="253" t="s">
        <v>150</v>
      </c>
      <c r="C126" s="254">
        <v>40</v>
      </c>
      <c r="D126" s="2">
        <v>20</v>
      </c>
      <c r="E126" s="27">
        <f t="shared" si="18"/>
        <v>20</v>
      </c>
      <c r="F126" s="263">
        <v>1002</v>
      </c>
      <c r="L126" s="624" t="s">
        <v>295</v>
      </c>
      <c r="M126" s="268" t="s">
        <v>308</v>
      </c>
      <c r="N126" s="267">
        <v>47</v>
      </c>
      <c r="O126" s="646"/>
      <c r="P126" s="647"/>
      <c r="Q126" s="647"/>
      <c r="R126" s="648"/>
      <c r="S126" s="27">
        <f t="shared" si="16"/>
        <v>29</v>
      </c>
      <c r="T126" s="649"/>
      <c r="U126" s="650"/>
      <c r="V126" s="650"/>
      <c r="W126" s="651"/>
      <c r="X126" s="74">
        <f t="shared" si="17"/>
        <v>18</v>
      </c>
    </row>
    <row r="127" spans="1:24" ht="18.75">
      <c r="A127" s="253">
        <v>192</v>
      </c>
      <c r="B127" s="253" t="s">
        <v>94</v>
      </c>
      <c r="C127" s="254">
        <v>69</v>
      </c>
      <c r="D127" s="2">
        <v>35</v>
      </c>
      <c r="E127" s="27">
        <f t="shared" si="18"/>
        <v>34</v>
      </c>
      <c r="F127" s="263">
        <v>1532</v>
      </c>
      <c r="L127" s="624"/>
      <c r="M127" s="268" t="s">
        <v>95</v>
      </c>
      <c r="N127" s="267">
        <v>33</v>
      </c>
      <c r="O127" s="646"/>
      <c r="P127" s="647"/>
      <c r="Q127" s="647"/>
      <c r="R127" s="648"/>
      <c r="S127" s="27">
        <f t="shared" si="16"/>
        <v>20</v>
      </c>
      <c r="T127" s="649"/>
      <c r="U127" s="650"/>
      <c r="V127" s="650"/>
      <c r="W127" s="651"/>
      <c r="X127" s="74">
        <f t="shared" si="17"/>
        <v>13</v>
      </c>
    </row>
    <row r="128" spans="1:24" ht="18.75">
      <c r="A128" s="624" t="s">
        <v>295</v>
      </c>
      <c r="B128" s="253" t="s">
        <v>308</v>
      </c>
      <c r="C128" s="254">
        <v>47</v>
      </c>
      <c r="D128" s="2">
        <v>24</v>
      </c>
      <c r="E128" s="27">
        <f t="shared" si="18"/>
        <v>23</v>
      </c>
      <c r="F128" s="263">
        <v>1637</v>
      </c>
      <c r="L128" s="624"/>
      <c r="M128" s="268" t="s">
        <v>96</v>
      </c>
      <c r="N128" s="267">
        <v>35</v>
      </c>
      <c r="O128" s="646"/>
      <c r="P128" s="647"/>
      <c r="Q128" s="647"/>
      <c r="R128" s="648"/>
      <c r="S128" s="27">
        <f t="shared" si="16"/>
        <v>22</v>
      </c>
      <c r="T128" s="649"/>
      <c r="U128" s="650"/>
      <c r="V128" s="650"/>
      <c r="W128" s="651"/>
      <c r="X128" s="74">
        <f t="shared" si="17"/>
        <v>13</v>
      </c>
    </row>
    <row r="129" spans="1:24" ht="18.75">
      <c r="A129" s="624"/>
      <c r="B129" s="253" t="s">
        <v>95</v>
      </c>
      <c r="C129" s="254">
        <v>33</v>
      </c>
      <c r="D129" s="2">
        <v>17</v>
      </c>
      <c r="E129" s="27">
        <f t="shared" si="18"/>
        <v>16</v>
      </c>
      <c r="F129" s="263">
        <v>1002</v>
      </c>
      <c r="L129" s="624"/>
      <c r="M129" s="268" t="s">
        <v>97</v>
      </c>
      <c r="N129" s="267">
        <v>37</v>
      </c>
      <c r="O129" s="646"/>
      <c r="P129" s="647"/>
      <c r="Q129" s="647"/>
      <c r="R129" s="648"/>
      <c r="S129" s="27">
        <f t="shared" si="16"/>
        <v>23</v>
      </c>
      <c r="T129" s="649"/>
      <c r="U129" s="650"/>
      <c r="V129" s="650"/>
      <c r="W129" s="651"/>
      <c r="X129" s="74">
        <f t="shared" si="17"/>
        <v>14</v>
      </c>
    </row>
    <row r="130" spans="1:24" ht="18.75">
      <c r="A130" s="624"/>
      <c r="B130" s="253" t="s">
        <v>96</v>
      </c>
      <c r="C130" s="254">
        <v>35</v>
      </c>
      <c r="D130" s="2">
        <v>18</v>
      </c>
      <c r="E130" s="27">
        <f t="shared" si="18"/>
        <v>17</v>
      </c>
      <c r="F130" s="263">
        <v>964</v>
      </c>
      <c r="L130" s="624"/>
      <c r="M130" s="268" t="s">
        <v>101</v>
      </c>
      <c r="N130" s="267">
        <v>33</v>
      </c>
      <c r="O130" s="646"/>
      <c r="P130" s="647"/>
      <c r="Q130" s="647"/>
      <c r="R130" s="648"/>
      <c r="S130" s="27">
        <f t="shared" si="16"/>
        <v>20</v>
      </c>
      <c r="T130" s="649"/>
      <c r="U130" s="650"/>
      <c r="V130" s="650"/>
      <c r="W130" s="651"/>
      <c r="X130" s="74">
        <f t="shared" si="17"/>
        <v>13</v>
      </c>
    </row>
    <row r="131" spans="1:24" ht="18.75" customHeight="1">
      <c r="A131" s="624"/>
      <c r="B131" s="253" t="s">
        <v>97</v>
      </c>
      <c r="C131" s="254">
        <v>37</v>
      </c>
      <c r="D131" s="2">
        <v>19</v>
      </c>
      <c r="E131" s="27">
        <f t="shared" si="18"/>
        <v>18</v>
      </c>
      <c r="F131" s="263">
        <v>1040</v>
      </c>
      <c r="L131" s="624"/>
      <c r="M131" s="268" t="s">
        <v>158</v>
      </c>
      <c r="N131" s="267">
        <v>35</v>
      </c>
      <c r="O131" s="646"/>
      <c r="P131" s="647"/>
      <c r="Q131" s="647"/>
      <c r="R131" s="648"/>
      <c r="S131" s="27">
        <f t="shared" si="16"/>
        <v>21</v>
      </c>
      <c r="T131" s="649"/>
      <c r="U131" s="650"/>
      <c r="V131" s="650"/>
      <c r="W131" s="651"/>
      <c r="X131" s="74">
        <f t="shared" si="17"/>
        <v>14</v>
      </c>
    </row>
    <row r="132" spans="1:24" ht="18.75">
      <c r="A132" s="624"/>
      <c r="B132" s="253" t="s">
        <v>101</v>
      </c>
      <c r="C132" s="254">
        <v>33</v>
      </c>
      <c r="D132" s="2">
        <v>17</v>
      </c>
      <c r="E132" s="27">
        <f t="shared" si="18"/>
        <v>16</v>
      </c>
      <c r="F132" s="263">
        <v>1050</v>
      </c>
      <c r="L132" s="624"/>
      <c r="M132" s="268" t="s">
        <v>150</v>
      </c>
      <c r="N132" s="267">
        <v>31</v>
      </c>
      <c r="O132" s="646"/>
      <c r="P132" s="647"/>
      <c r="Q132" s="647"/>
      <c r="R132" s="648"/>
      <c r="S132" s="27">
        <f t="shared" si="16"/>
        <v>19</v>
      </c>
      <c r="T132" s="649"/>
      <c r="U132" s="650"/>
      <c r="V132" s="650"/>
      <c r="W132" s="651"/>
      <c r="X132" s="74">
        <f t="shared" si="17"/>
        <v>12</v>
      </c>
    </row>
    <row r="133" spans="1:24" ht="18.75">
      <c r="A133" s="624"/>
      <c r="B133" s="253" t="s">
        <v>158</v>
      </c>
      <c r="C133" s="254">
        <v>35</v>
      </c>
      <c r="D133" s="2">
        <v>18</v>
      </c>
      <c r="E133" s="27">
        <f t="shared" si="18"/>
        <v>17</v>
      </c>
      <c r="F133" s="263">
        <v>1050</v>
      </c>
      <c r="L133" s="624"/>
      <c r="M133" s="268" t="s">
        <v>307</v>
      </c>
      <c r="N133" s="267">
        <v>32</v>
      </c>
      <c r="O133" s="646"/>
      <c r="P133" s="647"/>
      <c r="Q133" s="647"/>
      <c r="R133" s="648"/>
      <c r="S133" s="27">
        <f t="shared" si="16"/>
        <v>20</v>
      </c>
      <c r="T133" s="649"/>
      <c r="U133" s="650"/>
      <c r="V133" s="650"/>
      <c r="W133" s="651"/>
      <c r="X133" s="74">
        <f t="shared" si="17"/>
        <v>12</v>
      </c>
    </row>
    <row r="134" spans="1:24" ht="18.75">
      <c r="A134" s="624"/>
      <c r="B134" s="253" t="s">
        <v>150</v>
      </c>
      <c r="C134" s="254">
        <v>31</v>
      </c>
      <c r="D134" s="2">
        <v>16</v>
      </c>
      <c r="E134" s="27">
        <f t="shared" si="18"/>
        <v>15</v>
      </c>
      <c r="F134" s="263">
        <v>648</v>
      </c>
      <c r="L134" s="624"/>
      <c r="M134" s="268" t="s">
        <v>151</v>
      </c>
      <c r="N134" s="267">
        <v>34</v>
      </c>
      <c r="O134" s="646"/>
      <c r="P134" s="647"/>
      <c r="Q134" s="647"/>
      <c r="R134" s="648"/>
      <c r="S134" s="27">
        <f t="shared" si="16"/>
        <v>21</v>
      </c>
      <c r="T134" s="649"/>
      <c r="U134" s="650"/>
      <c r="V134" s="650"/>
      <c r="W134" s="651"/>
      <c r="X134" s="74">
        <f t="shared" si="17"/>
        <v>13</v>
      </c>
    </row>
    <row r="135" spans="1:24" ht="18.75">
      <c r="A135" s="624"/>
      <c r="B135" s="253" t="s">
        <v>307</v>
      </c>
      <c r="C135" s="254">
        <v>32</v>
      </c>
      <c r="D135" s="2">
        <v>16</v>
      </c>
      <c r="E135" s="27">
        <f t="shared" si="18"/>
        <v>16</v>
      </c>
      <c r="F135" s="263">
        <v>1036</v>
      </c>
      <c r="L135" s="624"/>
      <c r="M135" s="268" t="s">
        <v>285</v>
      </c>
      <c r="N135" s="267">
        <v>33</v>
      </c>
      <c r="O135" s="646"/>
      <c r="P135" s="647"/>
      <c r="Q135" s="647"/>
      <c r="R135" s="648"/>
      <c r="S135" s="27">
        <f t="shared" si="16"/>
        <v>20</v>
      </c>
      <c r="T135" s="649"/>
      <c r="U135" s="650"/>
      <c r="V135" s="650"/>
      <c r="W135" s="651"/>
      <c r="X135" s="74">
        <f t="shared" si="17"/>
        <v>13</v>
      </c>
    </row>
    <row r="136" spans="1:24" ht="18.75" customHeight="1">
      <c r="A136" s="624"/>
      <c r="B136" s="253" t="s">
        <v>151</v>
      </c>
      <c r="C136" s="254">
        <v>34</v>
      </c>
      <c r="D136" s="2">
        <v>17</v>
      </c>
      <c r="E136" s="27">
        <f t="shared" si="18"/>
        <v>17</v>
      </c>
      <c r="F136" s="263">
        <v>1095</v>
      </c>
      <c r="L136" s="624">
        <v>324</v>
      </c>
      <c r="M136" s="268" t="s">
        <v>101</v>
      </c>
      <c r="N136" s="267">
        <v>51</v>
      </c>
      <c r="O136" s="646"/>
      <c r="P136" s="647"/>
      <c r="Q136" s="647"/>
      <c r="R136" s="648"/>
      <c r="S136" s="27">
        <f t="shared" si="16"/>
        <v>31</v>
      </c>
      <c r="T136" s="649"/>
      <c r="U136" s="650"/>
      <c r="V136" s="650"/>
      <c r="W136" s="651"/>
      <c r="X136" s="74">
        <f t="shared" si="17"/>
        <v>20</v>
      </c>
    </row>
    <row r="137" spans="1:24" ht="18.75">
      <c r="A137" s="624"/>
      <c r="B137" s="253" t="s">
        <v>285</v>
      </c>
      <c r="C137" s="254">
        <v>33</v>
      </c>
      <c r="D137" s="2">
        <v>17</v>
      </c>
      <c r="E137" s="27">
        <f t="shared" si="18"/>
        <v>16</v>
      </c>
      <c r="F137" s="263">
        <f>50*30</f>
        <v>1500</v>
      </c>
      <c r="L137" s="624"/>
      <c r="M137" s="268" t="s">
        <v>150</v>
      </c>
      <c r="N137" s="267">
        <v>55</v>
      </c>
      <c r="O137" s="646"/>
      <c r="P137" s="647"/>
      <c r="Q137" s="647"/>
      <c r="R137" s="648"/>
      <c r="S137" s="27">
        <f t="shared" si="16"/>
        <v>34</v>
      </c>
      <c r="T137" s="649"/>
      <c r="U137" s="650"/>
      <c r="V137" s="650"/>
      <c r="W137" s="651"/>
      <c r="X137" s="74">
        <f t="shared" si="17"/>
        <v>21</v>
      </c>
    </row>
    <row r="138" spans="1:24" ht="18.75">
      <c r="A138" s="624">
        <v>324</v>
      </c>
      <c r="B138" s="253" t="s">
        <v>101</v>
      </c>
      <c r="C138" s="254">
        <v>51</v>
      </c>
      <c r="D138" s="2">
        <v>26</v>
      </c>
      <c r="E138" s="27">
        <f t="shared" si="18"/>
        <v>25</v>
      </c>
      <c r="F138" s="263">
        <v>1076</v>
      </c>
      <c r="L138" s="624"/>
      <c r="M138" s="268" t="s">
        <v>309</v>
      </c>
      <c r="N138" s="269" t="s">
        <v>315</v>
      </c>
      <c r="O138" s="646"/>
      <c r="P138" s="647"/>
      <c r="Q138" s="647"/>
      <c r="R138" s="648"/>
      <c r="S138" s="27">
        <f t="shared" si="16"/>
        <v>21</v>
      </c>
      <c r="T138" s="649"/>
      <c r="U138" s="650"/>
      <c r="V138" s="650"/>
      <c r="W138" s="651"/>
      <c r="X138" s="74">
        <f t="shared" si="17"/>
        <v>13</v>
      </c>
    </row>
    <row r="139" spans="1:24" ht="18.75">
      <c r="A139" s="624"/>
      <c r="B139" s="253" t="s">
        <v>150</v>
      </c>
      <c r="C139" s="254">
        <v>55</v>
      </c>
      <c r="D139" s="2">
        <v>28</v>
      </c>
      <c r="E139" s="27">
        <f t="shared" si="18"/>
        <v>27</v>
      </c>
      <c r="F139" s="263">
        <v>1211</v>
      </c>
      <c r="L139" s="624"/>
      <c r="M139" s="268" t="s">
        <v>302</v>
      </c>
      <c r="N139" s="267">
        <v>32</v>
      </c>
      <c r="O139" s="646"/>
      <c r="P139" s="647"/>
      <c r="Q139" s="647"/>
      <c r="R139" s="648"/>
      <c r="S139" s="27">
        <f t="shared" si="16"/>
        <v>20</v>
      </c>
      <c r="T139" s="649"/>
      <c r="U139" s="650"/>
      <c r="V139" s="650"/>
      <c r="W139" s="651"/>
      <c r="X139" s="74">
        <f t="shared" si="17"/>
        <v>12</v>
      </c>
    </row>
    <row r="140" spans="1:24" ht="18.75">
      <c r="A140" s="624"/>
      <c r="B140" s="253" t="s">
        <v>309</v>
      </c>
      <c r="C140" s="254">
        <v>34</v>
      </c>
      <c r="D140" s="2">
        <v>17</v>
      </c>
      <c r="E140" s="27">
        <f t="shared" si="18"/>
        <v>17</v>
      </c>
      <c r="F140" s="263">
        <v>1009</v>
      </c>
      <c r="L140" s="624"/>
      <c r="M140" s="268" t="s">
        <v>158</v>
      </c>
      <c r="N140" s="267">
        <v>35</v>
      </c>
      <c r="O140" s="646"/>
      <c r="P140" s="647"/>
      <c r="Q140" s="647"/>
      <c r="R140" s="648"/>
      <c r="S140" s="27">
        <f t="shared" si="16"/>
        <v>22</v>
      </c>
      <c r="T140" s="649"/>
      <c r="U140" s="650"/>
      <c r="V140" s="650"/>
      <c r="W140" s="651"/>
      <c r="X140" s="74">
        <f t="shared" si="17"/>
        <v>13</v>
      </c>
    </row>
    <row r="141" spans="1:24" ht="18.75">
      <c r="A141" s="624"/>
      <c r="B141" s="253" t="s">
        <v>302</v>
      </c>
      <c r="C141" s="254">
        <v>32</v>
      </c>
      <c r="D141" s="2">
        <v>16</v>
      </c>
      <c r="E141" s="27">
        <f t="shared" si="18"/>
        <v>16</v>
      </c>
      <c r="F141" s="263">
        <v>1109</v>
      </c>
      <c r="L141" s="624"/>
      <c r="M141" s="268" t="s">
        <v>310</v>
      </c>
      <c r="N141" s="267">
        <v>35</v>
      </c>
      <c r="O141" s="646"/>
      <c r="P141" s="647"/>
      <c r="Q141" s="647"/>
      <c r="R141" s="648"/>
      <c r="S141" s="27">
        <f t="shared" si="16"/>
        <v>21</v>
      </c>
      <c r="T141" s="649"/>
      <c r="U141" s="650"/>
      <c r="V141" s="650"/>
      <c r="W141" s="651"/>
      <c r="X141" s="74">
        <f t="shared" si="17"/>
        <v>14</v>
      </c>
    </row>
    <row r="142" spans="1:24" ht="18.75">
      <c r="A142" s="624"/>
      <c r="B142" s="253" t="s">
        <v>158</v>
      </c>
      <c r="C142" s="254">
        <v>35</v>
      </c>
      <c r="D142" s="2">
        <v>18</v>
      </c>
      <c r="E142" s="27">
        <f t="shared" si="18"/>
        <v>17</v>
      </c>
      <c r="F142" s="263">
        <v>1005</v>
      </c>
      <c r="L142" s="624"/>
      <c r="M142" s="268" t="s">
        <v>311</v>
      </c>
      <c r="N142" s="267">
        <v>35</v>
      </c>
      <c r="O142" s="646"/>
      <c r="P142" s="647"/>
      <c r="Q142" s="647"/>
      <c r="R142" s="648"/>
      <c r="S142" s="27">
        <f t="shared" si="16"/>
        <v>21</v>
      </c>
      <c r="T142" s="649"/>
      <c r="U142" s="650"/>
      <c r="V142" s="650"/>
      <c r="W142" s="651"/>
      <c r="X142" s="74">
        <f t="shared" si="17"/>
        <v>14</v>
      </c>
    </row>
    <row r="143" spans="1:24" ht="18.75">
      <c r="A143" s="624"/>
      <c r="B143" s="253" t="s">
        <v>310</v>
      </c>
      <c r="C143" s="254">
        <v>35</v>
      </c>
      <c r="D143" s="2">
        <v>18</v>
      </c>
      <c r="E143" s="27">
        <f t="shared" si="18"/>
        <v>17</v>
      </c>
      <c r="F143" s="263">
        <v>1029</v>
      </c>
      <c r="L143" s="624"/>
      <c r="M143" s="268" t="s">
        <v>151</v>
      </c>
      <c r="N143" s="267">
        <v>22</v>
      </c>
      <c r="O143" s="646"/>
      <c r="P143" s="647"/>
      <c r="Q143" s="647"/>
      <c r="R143" s="648"/>
      <c r="S143" s="27">
        <f t="shared" si="16"/>
        <v>14</v>
      </c>
      <c r="T143" s="649"/>
      <c r="U143" s="650"/>
      <c r="V143" s="650"/>
      <c r="W143" s="651"/>
      <c r="X143" s="74">
        <f t="shared" si="17"/>
        <v>8</v>
      </c>
    </row>
    <row r="144" spans="1:24" ht="18.75" customHeight="1">
      <c r="A144" s="624"/>
      <c r="B144" s="253" t="s">
        <v>311</v>
      </c>
      <c r="C144" s="254">
        <v>35</v>
      </c>
      <c r="D144" s="2">
        <v>18</v>
      </c>
      <c r="E144" s="27">
        <f t="shared" si="18"/>
        <v>17</v>
      </c>
      <c r="L144" s="624"/>
      <c r="M144" s="268" t="s">
        <v>95</v>
      </c>
      <c r="N144" s="267">
        <v>35</v>
      </c>
      <c r="O144" s="646"/>
      <c r="P144" s="647"/>
      <c r="Q144" s="647"/>
      <c r="R144" s="648"/>
      <c r="S144" s="27">
        <f t="shared" si="16"/>
        <v>22</v>
      </c>
      <c r="T144" s="649"/>
      <c r="U144" s="650"/>
      <c r="V144" s="650"/>
      <c r="W144" s="651"/>
      <c r="X144" s="74">
        <f t="shared" si="17"/>
        <v>13</v>
      </c>
    </row>
    <row r="145" spans="1:24" ht="18.75">
      <c r="A145" s="624"/>
      <c r="B145" s="253" t="s">
        <v>151</v>
      </c>
      <c r="C145" s="254">
        <v>22</v>
      </c>
      <c r="D145" s="2">
        <v>11</v>
      </c>
      <c r="E145" s="27">
        <f t="shared" si="18"/>
        <v>11</v>
      </c>
      <c r="L145" s="624"/>
      <c r="M145" s="268" t="s">
        <v>307</v>
      </c>
      <c r="N145" s="267">
        <v>37</v>
      </c>
      <c r="O145" s="646"/>
      <c r="P145" s="647"/>
      <c r="Q145" s="647"/>
      <c r="R145" s="648"/>
      <c r="S145" s="27">
        <f t="shared" si="16"/>
        <v>23</v>
      </c>
      <c r="T145" s="649"/>
      <c r="U145" s="650"/>
      <c r="V145" s="650"/>
      <c r="W145" s="651"/>
      <c r="X145" s="74">
        <f t="shared" si="17"/>
        <v>14</v>
      </c>
    </row>
    <row r="146" spans="1:24" ht="18.75">
      <c r="A146" s="624"/>
      <c r="B146" s="253" t="s">
        <v>95</v>
      </c>
      <c r="C146" s="254">
        <v>35</v>
      </c>
      <c r="D146" s="2">
        <v>18</v>
      </c>
      <c r="E146" s="27">
        <f t="shared" si="18"/>
        <v>17</v>
      </c>
      <c r="L146" s="268" t="s">
        <v>296</v>
      </c>
      <c r="M146" s="268" t="s">
        <v>101</v>
      </c>
      <c r="N146" s="267">
        <v>50</v>
      </c>
      <c r="O146" s="646"/>
      <c r="P146" s="647"/>
      <c r="Q146" s="647"/>
      <c r="R146" s="648"/>
      <c r="S146" s="27">
        <f t="shared" si="16"/>
        <v>30</v>
      </c>
      <c r="T146" s="649"/>
      <c r="U146" s="650"/>
      <c r="V146" s="650"/>
      <c r="W146" s="651"/>
      <c r="X146" s="74">
        <f t="shared" si="17"/>
        <v>20</v>
      </c>
    </row>
    <row r="147" spans="1:24" ht="18.75">
      <c r="A147" s="624"/>
      <c r="B147" s="253" t="s">
        <v>307</v>
      </c>
      <c r="C147" s="254">
        <v>37</v>
      </c>
      <c r="D147" s="2">
        <v>19</v>
      </c>
      <c r="E147" s="27">
        <f t="shared" si="18"/>
        <v>18</v>
      </c>
      <c r="L147" s="616" t="s">
        <v>297</v>
      </c>
      <c r="M147" s="268" t="s">
        <v>150</v>
      </c>
      <c r="N147" s="267">
        <v>21</v>
      </c>
      <c r="O147" s="646"/>
      <c r="P147" s="647"/>
      <c r="Q147" s="647"/>
      <c r="R147" s="648"/>
      <c r="S147" s="27">
        <f t="shared" si="16"/>
        <v>7</v>
      </c>
      <c r="T147" s="649"/>
      <c r="U147" s="650"/>
      <c r="V147" s="650"/>
      <c r="W147" s="651"/>
      <c r="X147" s="74">
        <f t="shared" si="17"/>
        <v>14</v>
      </c>
    </row>
    <row r="148" spans="1:24" ht="18.75">
      <c r="A148" s="253" t="s">
        <v>296</v>
      </c>
      <c r="B148" s="253" t="s">
        <v>101</v>
      </c>
      <c r="C148" s="254">
        <v>50</v>
      </c>
      <c r="D148" s="2">
        <v>25</v>
      </c>
      <c r="E148" s="27">
        <f t="shared" si="18"/>
        <v>25</v>
      </c>
      <c r="L148" s="616"/>
      <c r="M148" s="268" t="s">
        <v>95</v>
      </c>
      <c r="N148" s="267">
        <v>24</v>
      </c>
      <c r="O148" s="646"/>
      <c r="P148" s="647"/>
      <c r="Q148" s="647"/>
      <c r="R148" s="648"/>
      <c r="S148" s="27">
        <f t="shared" si="16"/>
        <v>8</v>
      </c>
      <c r="T148" s="649"/>
      <c r="U148" s="650"/>
      <c r="V148" s="650"/>
      <c r="W148" s="651"/>
      <c r="X148" s="74">
        <f t="shared" si="17"/>
        <v>16</v>
      </c>
    </row>
    <row r="149" spans="1:24" ht="18.75">
      <c r="A149" s="616" t="s">
        <v>297</v>
      </c>
      <c r="B149" s="253" t="s">
        <v>150</v>
      </c>
      <c r="C149" s="254">
        <v>21</v>
      </c>
      <c r="D149" s="2">
        <v>11</v>
      </c>
      <c r="E149" s="27">
        <f t="shared" si="18"/>
        <v>10</v>
      </c>
      <c r="L149" s="616"/>
      <c r="M149" s="268" t="s">
        <v>97</v>
      </c>
      <c r="N149" s="267">
        <v>20</v>
      </c>
      <c r="O149" s="646"/>
      <c r="P149" s="647"/>
      <c r="Q149" s="647"/>
      <c r="R149" s="648"/>
      <c r="S149" s="27">
        <f t="shared" ref="S149:S153" si="19">N68</f>
        <v>7</v>
      </c>
      <c r="T149" s="649"/>
      <c r="U149" s="650"/>
      <c r="V149" s="650"/>
      <c r="W149" s="651"/>
      <c r="X149" s="74">
        <f t="shared" ref="X149:X153" si="20">O68</f>
        <v>13</v>
      </c>
    </row>
    <row r="150" spans="1:24" ht="18.75">
      <c r="A150" s="616"/>
      <c r="B150" s="253" t="s">
        <v>95</v>
      </c>
      <c r="C150" s="254">
        <v>24</v>
      </c>
      <c r="D150" s="2">
        <v>12</v>
      </c>
      <c r="E150" s="27">
        <f t="shared" si="18"/>
        <v>12</v>
      </c>
      <c r="L150" s="616"/>
      <c r="M150" s="268" t="s">
        <v>100</v>
      </c>
      <c r="N150" s="267">
        <v>22</v>
      </c>
      <c r="O150" s="646"/>
      <c r="P150" s="647"/>
      <c r="Q150" s="647"/>
      <c r="R150" s="648"/>
      <c r="S150" s="27">
        <f t="shared" si="19"/>
        <v>8</v>
      </c>
      <c r="T150" s="646"/>
      <c r="U150" s="647"/>
      <c r="V150" s="647"/>
      <c r="W150" s="648"/>
      <c r="X150" s="74">
        <f t="shared" si="20"/>
        <v>14</v>
      </c>
    </row>
    <row r="151" spans="1:24" ht="18.75">
      <c r="A151" s="616"/>
      <c r="B151" s="253" t="s">
        <v>97</v>
      </c>
      <c r="C151" s="254">
        <v>20</v>
      </c>
      <c r="D151" s="2">
        <v>10</v>
      </c>
      <c r="E151" s="27">
        <f t="shared" ref="E151:E154" si="21">C151-D151</f>
        <v>10</v>
      </c>
      <c r="L151" s="616"/>
      <c r="M151" s="268" t="s">
        <v>298</v>
      </c>
      <c r="N151" s="267">
        <v>20</v>
      </c>
      <c r="O151" s="646"/>
      <c r="P151" s="647"/>
      <c r="Q151" s="647"/>
      <c r="R151" s="648"/>
      <c r="S151" s="27">
        <f t="shared" si="19"/>
        <v>7</v>
      </c>
      <c r="T151" s="646"/>
      <c r="U151" s="647"/>
      <c r="V151" s="647"/>
      <c r="W151" s="648"/>
      <c r="X151" s="74">
        <f t="shared" si="20"/>
        <v>13</v>
      </c>
    </row>
    <row r="152" spans="1:24" ht="18.75">
      <c r="A152" s="616"/>
      <c r="B152" s="253" t="s">
        <v>100</v>
      </c>
      <c r="C152" s="254">
        <v>22</v>
      </c>
      <c r="D152" s="2">
        <v>11</v>
      </c>
      <c r="E152" s="27">
        <f t="shared" si="21"/>
        <v>11</v>
      </c>
      <c r="L152" s="616"/>
      <c r="M152" s="268" t="s">
        <v>299</v>
      </c>
      <c r="N152" s="267">
        <v>20</v>
      </c>
      <c r="O152" s="646"/>
      <c r="P152" s="647"/>
      <c r="Q152" s="647"/>
      <c r="R152" s="648"/>
      <c r="S152" s="27">
        <f t="shared" si="19"/>
        <v>7</v>
      </c>
      <c r="T152" s="646"/>
      <c r="U152" s="647"/>
      <c r="V152" s="647"/>
      <c r="W152" s="648"/>
      <c r="X152" s="74">
        <f t="shared" si="20"/>
        <v>13</v>
      </c>
    </row>
    <row r="153" spans="1:24" ht="18.75">
      <c r="A153" s="616"/>
      <c r="B153" s="253" t="s">
        <v>298</v>
      </c>
      <c r="C153" s="254">
        <v>20</v>
      </c>
      <c r="D153" s="2">
        <v>10</v>
      </c>
      <c r="E153" s="27">
        <f t="shared" si="21"/>
        <v>10</v>
      </c>
      <c r="L153" s="268"/>
      <c r="M153" s="266"/>
      <c r="N153" s="257">
        <f>SUM(N84:N152)</f>
        <v>2067</v>
      </c>
      <c r="O153" s="646"/>
      <c r="P153" s="647"/>
      <c r="Q153" s="647"/>
      <c r="R153" s="648"/>
      <c r="S153" s="27">
        <f t="shared" si="19"/>
        <v>1258</v>
      </c>
      <c r="T153" s="646"/>
      <c r="U153" s="647"/>
      <c r="V153" s="647"/>
      <c r="W153" s="648"/>
      <c r="X153" s="74">
        <f t="shared" si="20"/>
        <v>843</v>
      </c>
    </row>
    <row r="154" spans="1:24">
      <c r="A154" s="616"/>
      <c r="B154" s="253" t="s">
        <v>299</v>
      </c>
      <c r="C154" s="254">
        <v>20</v>
      </c>
      <c r="D154" s="2">
        <v>10</v>
      </c>
      <c r="E154" s="27">
        <f t="shared" si="21"/>
        <v>10</v>
      </c>
    </row>
    <row r="155" spans="1:24">
      <c r="A155" s="253"/>
      <c r="B155" s="250"/>
      <c r="C155" s="257">
        <f>SUM(C86:C154)</f>
        <v>2101</v>
      </c>
      <c r="D155" s="2">
        <f>SUM(D86:D154)</f>
        <v>1069</v>
      </c>
      <c r="E155" s="27">
        <f>SUM(E86:E154)</f>
        <v>1032</v>
      </c>
    </row>
  </sheetData>
  <mergeCells count="308">
    <mergeCell ref="J66:J71"/>
    <mergeCell ref="A83:E84"/>
    <mergeCell ref="A109:A114"/>
    <mergeCell ref="A115:A126"/>
    <mergeCell ref="A128:A137"/>
    <mergeCell ref="A138:A147"/>
    <mergeCell ref="A149:A154"/>
    <mergeCell ref="A86:A92"/>
    <mergeCell ref="A93:A96"/>
    <mergeCell ref="A97:A100"/>
    <mergeCell ref="A101:A103"/>
    <mergeCell ref="A104:A108"/>
    <mergeCell ref="I66:I71"/>
    <mergeCell ref="K66:K71"/>
    <mergeCell ref="L45:L54"/>
    <mergeCell ref="L55:L64"/>
    <mergeCell ref="L66:L71"/>
    <mergeCell ref="K14:K17"/>
    <mergeCell ref="K18:K20"/>
    <mergeCell ref="K21:K25"/>
    <mergeCell ref="K26:K31"/>
    <mergeCell ref="K32:K43"/>
    <mergeCell ref="L18:L20"/>
    <mergeCell ref="L21:L25"/>
    <mergeCell ref="L26:L31"/>
    <mergeCell ref="L32:L43"/>
    <mergeCell ref="K45:K54"/>
    <mergeCell ref="K55:K64"/>
    <mergeCell ref="J26:J31"/>
    <mergeCell ref="J32:J43"/>
    <mergeCell ref="J45:J54"/>
    <mergeCell ref="J55:J64"/>
    <mergeCell ref="I55:I64"/>
    <mergeCell ref="I32:I43"/>
    <mergeCell ref="I45:I54"/>
    <mergeCell ref="J14:J17"/>
    <mergeCell ref="J18:J20"/>
    <mergeCell ref="J21:J25"/>
    <mergeCell ref="I21:I25"/>
    <mergeCell ref="I26:I31"/>
    <mergeCell ref="A32:A43"/>
    <mergeCell ref="G32:G43"/>
    <mergeCell ref="H32:H43"/>
    <mergeCell ref="A21:A25"/>
    <mergeCell ref="A26:A31"/>
    <mergeCell ref="G21:G25"/>
    <mergeCell ref="H21:H25"/>
    <mergeCell ref="G26:G31"/>
    <mergeCell ref="H26:H31"/>
    <mergeCell ref="A55:A64"/>
    <mergeCell ref="A66:A71"/>
    <mergeCell ref="G55:G64"/>
    <mergeCell ref="H55:H64"/>
    <mergeCell ref="A45:A54"/>
    <mergeCell ref="G45:G54"/>
    <mergeCell ref="H45:H54"/>
    <mergeCell ref="G66:G71"/>
    <mergeCell ref="H66:H71"/>
    <mergeCell ref="G18:G20"/>
    <mergeCell ref="A18:A20"/>
    <mergeCell ref="H18:H20"/>
    <mergeCell ref="G14:G17"/>
    <mergeCell ref="H14:H17"/>
    <mergeCell ref="I18:I20"/>
    <mergeCell ref="A1:M1"/>
    <mergeCell ref="A3:A9"/>
    <mergeCell ref="G3:G9"/>
    <mergeCell ref="I3:I9"/>
    <mergeCell ref="I10:I13"/>
    <mergeCell ref="H3:H9"/>
    <mergeCell ref="G10:G13"/>
    <mergeCell ref="H10:H13"/>
    <mergeCell ref="L3:L9"/>
    <mergeCell ref="K3:K9"/>
    <mergeCell ref="K10:K13"/>
    <mergeCell ref="A10:A13"/>
    <mergeCell ref="J3:J9"/>
    <mergeCell ref="J10:J13"/>
    <mergeCell ref="L10:L13"/>
    <mergeCell ref="L14:L17"/>
    <mergeCell ref="R1:AD1"/>
    <mergeCell ref="R3:R9"/>
    <mergeCell ref="X3:X9"/>
    <mergeCell ref="Y3:Y9"/>
    <mergeCell ref="Z3:Z9"/>
    <mergeCell ref="AA3:AA9"/>
    <mergeCell ref="AB3:AB9"/>
    <mergeCell ref="AC3:AC9"/>
    <mergeCell ref="A14:A17"/>
    <mergeCell ref="I14:I17"/>
    <mergeCell ref="AB10:AB13"/>
    <mergeCell ref="AC10:AC13"/>
    <mergeCell ref="R14:R17"/>
    <mergeCell ref="X14:X17"/>
    <mergeCell ref="Y14:Y17"/>
    <mergeCell ref="Z14:Z17"/>
    <mergeCell ref="AA14:AA17"/>
    <mergeCell ref="AB14:AB17"/>
    <mergeCell ref="AC14:AC17"/>
    <mergeCell ref="R10:R13"/>
    <mergeCell ref="X10:X13"/>
    <mergeCell ref="Y10:Y13"/>
    <mergeCell ref="Z10:Z13"/>
    <mergeCell ref="AA10:AA13"/>
    <mergeCell ref="AB18:AB20"/>
    <mergeCell ref="AC18:AC20"/>
    <mergeCell ref="R21:R25"/>
    <mergeCell ref="X21:X25"/>
    <mergeCell ref="Y21:Y25"/>
    <mergeCell ref="Z21:Z25"/>
    <mergeCell ref="AA21:AA25"/>
    <mergeCell ref="AB21:AB25"/>
    <mergeCell ref="AC21:AC25"/>
    <mergeCell ref="R18:R20"/>
    <mergeCell ref="X18:X20"/>
    <mergeCell ref="Y18:Y20"/>
    <mergeCell ref="Z18:Z20"/>
    <mergeCell ref="AA18:AA20"/>
    <mergeCell ref="AB26:AB31"/>
    <mergeCell ref="AC26:AC31"/>
    <mergeCell ref="R32:R43"/>
    <mergeCell ref="X32:X43"/>
    <mergeCell ref="Y32:Y43"/>
    <mergeCell ref="Z32:Z43"/>
    <mergeCell ref="AA32:AA43"/>
    <mergeCell ref="AB32:AB43"/>
    <mergeCell ref="AC32:AC43"/>
    <mergeCell ref="R26:R31"/>
    <mergeCell ref="X26:X31"/>
    <mergeCell ref="Y26:Y31"/>
    <mergeCell ref="Z26:Z31"/>
    <mergeCell ref="AA26:AA31"/>
    <mergeCell ref="T91:W91"/>
    <mergeCell ref="AB66:AB71"/>
    <mergeCell ref="AC66:AC71"/>
    <mergeCell ref="R66:R71"/>
    <mergeCell ref="X66:X71"/>
    <mergeCell ref="Y66:Y71"/>
    <mergeCell ref="Z66:Z71"/>
    <mergeCell ref="AA66:AA71"/>
    <mergeCell ref="AB45:AB54"/>
    <mergeCell ref="AC45:AC54"/>
    <mergeCell ref="R55:R64"/>
    <mergeCell ref="X55:X64"/>
    <mergeCell ref="Y55:Y64"/>
    <mergeCell ref="Z55:Z64"/>
    <mergeCell ref="AA55:AA64"/>
    <mergeCell ref="AB55:AB64"/>
    <mergeCell ref="AC55:AC64"/>
    <mergeCell ref="R45:R54"/>
    <mergeCell ref="X45:X54"/>
    <mergeCell ref="Y45:Y54"/>
    <mergeCell ref="Z45:Z54"/>
    <mergeCell ref="AA45:AA54"/>
    <mergeCell ref="O97:R97"/>
    <mergeCell ref="T97:W97"/>
    <mergeCell ref="O98:R98"/>
    <mergeCell ref="T98:W98"/>
    <mergeCell ref="L81:N82"/>
    <mergeCell ref="O81:S82"/>
    <mergeCell ref="T81:X82"/>
    <mergeCell ref="O83:R83"/>
    <mergeCell ref="T83:W83"/>
    <mergeCell ref="O84:R84"/>
    <mergeCell ref="T84:W84"/>
    <mergeCell ref="O85:R85"/>
    <mergeCell ref="T85:W85"/>
    <mergeCell ref="O86:R86"/>
    <mergeCell ref="T86:W86"/>
    <mergeCell ref="O87:R87"/>
    <mergeCell ref="T87:W87"/>
    <mergeCell ref="O88:R88"/>
    <mergeCell ref="T88:W88"/>
    <mergeCell ref="O89:R89"/>
    <mergeCell ref="T89:W89"/>
    <mergeCell ref="O90:R90"/>
    <mergeCell ref="T90:W90"/>
    <mergeCell ref="O91:R91"/>
    <mergeCell ref="O92:R92"/>
    <mergeCell ref="T92:W92"/>
    <mergeCell ref="O93:R93"/>
    <mergeCell ref="T93:W93"/>
    <mergeCell ref="O94:R94"/>
    <mergeCell ref="T94:W94"/>
    <mergeCell ref="O95:R95"/>
    <mergeCell ref="T95:W95"/>
    <mergeCell ref="O96:R96"/>
    <mergeCell ref="T96:W96"/>
    <mergeCell ref="O99:R99"/>
    <mergeCell ref="T99:W99"/>
    <mergeCell ref="O100:R100"/>
    <mergeCell ref="T100:W100"/>
    <mergeCell ref="O101:R101"/>
    <mergeCell ref="T101:W101"/>
    <mergeCell ref="O102:R102"/>
    <mergeCell ref="T102:W102"/>
    <mergeCell ref="O108:R108"/>
    <mergeCell ref="T108:W108"/>
    <mergeCell ref="O103:R103"/>
    <mergeCell ref="T103:W103"/>
    <mergeCell ref="O104:R104"/>
    <mergeCell ref="T104:W104"/>
    <mergeCell ref="O105:R105"/>
    <mergeCell ref="T105:W105"/>
    <mergeCell ref="O106:R106"/>
    <mergeCell ref="T106:W106"/>
    <mergeCell ref="O107:R107"/>
    <mergeCell ref="T107:W107"/>
    <mergeCell ref="O113:R113"/>
    <mergeCell ref="T113:W113"/>
    <mergeCell ref="O109:R109"/>
    <mergeCell ref="T109:W109"/>
    <mergeCell ref="O110:R110"/>
    <mergeCell ref="T110:W110"/>
    <mergeCell ref="O111:R111"/>
    <mergeCell ref="T111:W111"/>
    <mergeCell ref="O112:R112"/>
    <mergeCell ref="T112:W112"/>
    <mergeCell ref="O121:R121"/>
    <mergeCell ref="T121:W121"/>
    <mergeCell ref="O122:R122"/>
    <mergeCell ref="T122:W122"/>
    <mergeCell ref="O114:R114"/>
    <mergeCell ref="T114:W114"/>
    <mergeCell ref="O115:R115"/>
    <mergeCell ref="T115:W115"/>
    <mergeCell ref="O116:R116"/>
    <mergeCell ref="T116:W116"/>
    <mergeCell ref="O117:R117"/>
    <mergeCell ref="T117:W117"/>
    <mergeCell ref="O118:R118"/>
    <mergeCell ref="T118:W118"/>
    <mergeCell ref="O119:R119"/>
    <mergeCell ref="T119:W119"/>
    <mergeCell ref="O120:R120"/>
    <mergeCell ref="T120:W120"/>
    <mergeCell ref="O127:R127"/>
    <mergeCell ref="T127:W127"/>
    <mergeCell ref="O128:R128"/>
    <mergeCell ref="T128:W128"/>
    <mergeCell ref="O129:R129"/>
    <mergeCell ref="T129:W129"/>
    <mergeCell ref="O130:R130"/>
    <mergeCell ref="T130:W130"/>
    <mergeCell ref="O123:R123"/>
    <mergeCell ref="T123:W123"/>
    <mergeCell ref="O124:R124"/>
    <mergeCell ref="T124:W124"/>
    <mergeCell ref="O125:R125"/>
    <mergeCell ref="T125:W125"/>
    <mergeCell ref="O126:R126"/>
    <mergeCell ref="T126:W126"/>
    <mergeCell ref="O131:R131"/>
    <mergeCell ref="T131:W131"/>
    <mergeCell ref="O132:R132"/>
    <mergeCell ref="T132:W132"/>
    <mergeCell ref="O133:R133"/>
    <mergeCell ref="T133:W133"/>
    <mergeCell ref="O134:R134"/>
    <mergeCell ref="T134:W134"/>
    <mergeCell ref="O135:R135"/>
    <mergeCell ref="T135:W135"/>
    <mergeCell ref="O146:R146"/>
    <mergeCell ref="T146:W146"/>
    <mergeCell ref="O147:R147"/>
    <mergeCell ref="T147:W147"/>
    <mergeCell ref="O148:R148"/>
    <mergeCell ref="T148:W148"/>
    <mergeCell ref="O136:R136"/>
    <mergeCell ref="T136:W136"/>
    <mergeCell ref="O137:R137"/>
    <mergeCell ref="T137:W137"/>
    <mergeCell ref="O138:R138"/>
    <mergeCell ref="T138:W138"/>
    <mergeCell ref="O139:R139"/>
    <mergeCell ref="T139:W139"/>
    <mergeCell ref="O140:R140"/>
    <mergeCell ref="T140:W140"/>
    <mergeCell ref="O141:R141"/>
    <mergeCell ref="T141:W141"/>
    <mergeCell ref="O142:R142"/>
    <mergeCell ref="T142:W142"/>
    <mergeCell ref="O143:R143"/>
    <mergeCell ref="T143:W143"/>
    <mergeCell ref="O153:R153"/>
    <mergeCell ref="T150:W150"/>
    <mergeCell ref="T151:W151"/>
    <mergeCell ref="T152:W152"/>
    <mergeCell ref="T153:W153"/>
    <mergeCell ref="O149:R149"/>
    <mergeCell ref="T149:W149"/>
    <mergeCell ref="L84:L90"/>
    <mergeCell ref="L91:L94"/>
    <mergeCell ref="L95:L98"/>
    <mergeCell ref="L99:L101"/>
    <mergeCell ref="L102:L106"/>
    <mergeCell ref="L107:L112"/>
    <mergeCell ref="L113:L124"/>
    <mergeCell ref="L126:L135"/>
    <mergeCell ref="L136:L145"/>
    <mergeCell ref="L147:L152"/>
    <mergeCell ref="O150:R150"/>
    <mergeCell ref="O151:R151"/>
    <mergeCell ref="O152:R152"/>
    <mergeCell ref="O144:R144"/>
    <mergeCell ref="T144:W144"/>
    <mergeCell ref="O145:R145"/>
    <mergeCell ref="T145:W145"/>
  </mergeCells>
  <pageMargins left="0.2" right="0.14000000000000001" top="0.21" bottom="0.27" header="0.15" footer="0.15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M4" workbookViewId="0">
      <selection activeCell="Q25" sqref="Q25"/>
    </sheetView>
  </sheetViews>
  <sheetFormatPr defaultRowHeight="15"/>
  <cols>
    <col min="3" max="3" width="8.140625" customWidth="1"/>
    <col min="4" max="4" width="7.5703125" customWidth="1"/>
    <col min="7" max="7" width="12.7109375" customWidth="1"/>
    <col min="11" max="13" width="11" customWidth="1"/>
    <col min="14" max="14" width="10.5703125" customWidth="1"/>
    <col min="15" max="15" width="12" customWidth="1"/>
  </cols>
  <sheetData>
    <row r="1" spans="1:30" ht="28.5">
      <c r="A1" s="605" t="s">
        <v>141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56">
        <v>45189</v>
      </c>
      <c r="N1" s="657"/>
      <c r="Q1" s="605" t="s">
        <v>320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294">
        <v>45189</v>
      </c>
    </row>
    <row r="2" spans="1:30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126</v>
      </c>
      <c r="Q2" s="100" t="s">
        <v>0</v>
      </c>
      <c r="R2" s="100" t="s">
        <v>140</v>
      </c>
      <c r="S2" s="101" t="s">
        <v>123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321</v>
      </c>
      <c r="AD2" s="105" t="s">
        <v>125</v>
      </c>
    </row>
    <row r="3" spans="1:30" ht="15" customHeight="1">
      <c r="A3" s="616" t="s">
        <v>292</v>
      </c>
      <c r="B3" s="292" t="s">
        <v>150</v>
      </c>
      <c r="C3" s="292">
        <f t="shared" ref="C3:C23" si="0">P3-S3</f>
        <v>570</v>
      </c>
      <c r="D3" s="195">
        <v>0.82</v>
      </c>
      <c r="E3" s="290">
        <v>330</v>
      </c>
      <c r="F3" s="107">
        <f>C3*D3*E3</f>
        <v>154242</v>
      </c>
      <c r="G3" s="624">
        <v>800</v>
      </c>
      <c r="H3" s="590">
        <v>3000</v>
      </c>
      <c r="I3" s="590">
        <v>685</v>
      </c>
      <c r="J3" s="590">
        <f>G3/H3*SUM(C3:C8)*I3</f>
        <v>383600</v>
      </c>
      <c r="K3" s="582">
        <f>J3+SUM(F3:F8)</f>
        <v>951860</v>
      </c>
      <c r="L3" s="582">
        <f>K3/SUM(C3:C8)</f>
        <v>453.26666666666665</v>
      </c>
      <c r="M3" s="255">
        <v>29</v>
      </c>
      <c r="N3" s="2">
        <v>19</v>
      </c>
      <c r="P3" s="287">
        <v>870</v>
      </c>
      <c r="Q3" s="658" t="s">
        <v>292</v>
      </c>
      <c r="R3" s="287" t="s">
        <v>150</v>
      </c>
      <c r="S3" s="287">
        <v>300</v>
      </c>
      <c r="T3" s="231">
        <v>0.82</v>
      </c>
      <c r="U3" s="285">
        <v>330</v>
      </c>
      <c r="V3" s="107">
        <f>S3*T3*U3</f>
        <v>81179.999999999985</v>
      </c>
      <c r="W3" s="624">
        <v>800</v>
      </c>
      <c r="X3" s="590">
        <v>3000</v>
      </c>
      <c r="Y3" s="590">
        <v>685</v>
      </c>
      <c r="Z3" s="590">
        <f>W3/X3*SUM(S3:S8)*Y3</f>
        <v>164400</v>
      </c>
      <c r="AA3" s="582">
        <f>Z3+SUM(V3:V8)</f>
        <v>407939.99999999994</v>
      </c>
      <c r="AB3" s="582">
        <f>AA3/SUM(S3:S8)</f>
        <v>453.26666666666659</v>
      </c>
      <c r="AC3" s="286">
        <v>10</v>
      </c>
      <c r="AD3" s="255">
        <v>29</v>
      </c>
    </row>
    <row r="4" spans="1:30">
      <c r="A4" s="616"/>
      <c r="B4" s="292" t="s">
        <v>97</v>
      </c>
      <c r="C4" s="292">
        <f t="shared" si="0"/>
        <v>240</v>
      </c>
      <c r="D4" s="195">
        <v>0.82</v>
      </c>
      <c r="E4" s="290">
        <v>330</v>
      </c>
      <c r="F4" s="107">
        <f t="shared" ref="F4:F23" si="1">C4*D4*E4</f>
        <v>64943.999999999993</v>
      </c>
      <c r="G4" s="624"/>
      <c r="H4" s="590"/>
      <c r="I4" s="590"/>
      <c r="J4" s="590"/>
      <c r="K4" s="582"/>
      <c r="L4" s="582"/>
      <c r="M4" s="255">
        <v>8</v>
      </c>
      <c r="N4" s="2">
        <v>8</v>
      </c>
      <c r="P4" s="287">
        <v>240</v>
      </c>
      <c r="Q4" s="659"/>
      <c r="R4" s="287" t="s">
        <v>97</v>
      </c>
      <c r="S4" s="287">
        <v>0</v>
      </c>
      <c r="T4" s="231">
        <v>0.82</v>
      </c>
      <c r="U4" s="285">
        <v>330</v>
      </c>
      <c r="V4" s="107">
        <f t="shared" ref="V4:V23" si="2">S4*T4*U4</f>
        <v>0</v>
      </c>
      <c r="W4" s="624"/>
      <c r="X4" s="590"/>
      <c r="Y4" s="590"/>
      <c r="Z4" s="590"/>
      <c r="AA4" s="582"/>
      <c r="AB4" s="582"/>
      <c r="AC4" s="286">
        <f t="shared" ref="AC4:AC8" si="3">S4/30</f>
        <v>0</v>
      </c>
      <c r="AD4" s="255">
        <v>8</v>
      </c>
    </row>
    <row r="5" spans="1:30">
      <c r="A5" s="616"/>
      <c r="B5" s="292" t="s">
        <v>95</v>
      </c>
      <c r="C5" s="292">
        <f t="shared" si="0"/>
        <v>120</v>
      </c>
      <c r="D5" s="195">
        <v>0.82</v>
      </c>
      <c r="E5" s="290">
        <v>330</v>
      </c>
      <c r="F5" s="107">
        <f t="shared" si="1"/>
        <v>32471.999999999996</v>
      </c>
      <c r="G5" s="624"/>
      <c r="H5" s="590"/>
      <c r="I5" s="590"/>
      <c r="J5" s="590"/>
      <c r="K5" s="582"/>
      <c r="L5" s="582"/>
      <c r="M5" s="255">
        <v>4</v>
      </c>
      <c r="N5" s="2">
        <v>4</v>
      </c>
      <c r="P5" s="287">
        <v>120</v>
      </c>
      <c r="Q5" s="659"/>
      <c r="R5" s="287" t="s">
        <v>95</v>
      </c>
      <c r="S5" s="287">
        <v>0</v>
      </c>
      <c r="T5" s="231">
        <v>0.82</v>
      </c>
      <c r="U5" s="285">
        <v>330</v>
      </c>
      <c r="V5" s="107">
        <f t="shared" si="2"/>
        <v>0</v>
      </c>
      <c r="W5" s="624"/>
      <c r="X5" s="590"/>
      <c r="Y5" s="590"/>
      <c r="Z5" s="590"/>
      <c r="AA5" s="582"/>
      <c r="AB5" s="582"/>
      <c r="AC5" s="286">
        <f t="shared" si="3"/>
        <v>0</v>
      </c>
      <c r="AD5" s="255">
        <v>4</v>
      </c>
    </row>
    <row r="6" spans="1:30">
      <c r="A6" s="616"/>
      <c r="B6" s="292" t="s">
        <v>299</v>
      </c>
      <c r="C6" s="292">
        <f t="shared" si="0"/>
        <v>960</v>
      </c>
      <c r="D6" s="195">
        <v>0.82</v>
      </c>
      <c r="E6" s="290">
        <v>330</v>
      </c>
      <c r="F6" s="107">
        <f t="shared" si="1"/>
        <v>259775.99999999997</v>
      </c>
      <c r="G6" s="624"/>
      <c r="H6" s="590"/>
      <c r="I6" s="590"/>
      <c r="J6" s="590"/>
      <c r="K6" s="582"/>
      <c r="L6" s="582"/>
      <c r="M6" s="255">
        <v>52</v>
      </c>
      <c r="N6" s="2">
        <v>32</v>
      </c>
      <c r="P6" s="287">
        <v>1560</v>
      </c>
      <c r="Q6" s="659"/>
      <c r="R6" s="287" t="s">
        <v>299</v>
      </c>
      <c r="S6" s="287">
        <v>600</v>
      </c>
      <c r="T6" s="231">
        <v>0.82</v>
      </c>
      <c r="U6" s="285">
        <v>330</v>
      </c>
      <c r="V6" s="107">
        <f t="shared" si="2"/>
        <v>162359.99999999997</v>
      </c>
      <c r="W6" s="624"/>
      <c r="X6" s="590"/>
      <c r="Y6" s="590"/>
      <c r="Z6" s="590"/>
      <c r="AA6" s="582"/>
      <c r="AB6" s="582"/>
      <c r="AC6" s="286">
        <v>20</v>
      </c>
      <c r="AD6" s="255">
        <v>52</v>
      </c>
    </row>
    <row r="7" spans="1:30">
      <c r="A7" s="616"/>
      <c r="B7" s="292" t="s">
        <v>100</v>
      </c>
      <c r="C7" s="292">
        <f t="shared" si="0"/>
        <v>30</v>
      </c>
      <c r="D7" s="195">
        <v>0.82</v>
      </c>
      <c r="E7" s="290">
        <v>330</v>
      </c>
      <c r="F7" s="107">
        <f t="shared" si="1"/>
        <v>8117.9999999999991</v>
      </c>
      <c r="G7" s="624"/>
      <c r="H7" s="590"/>
      <c r="I7" s="590"/>
      <c r="J7" s="590"/>
      <c r="K7" s="582"/>
      <c r="L7" s="582"/>
      <c r="M7" s="255">
        <v>1</v>
      </c>
      <c r="N7" s="2">
        <v>1</v>
      </c>
      <c r="P7" s="287">
        <v>30</v>
      </c>
      <c r="Q7" s="659"/>
      <c r="R7" s="287" t="s">
        <v>100</v>
      </c>
      <c r="S7" s="287">
        <v>0</v>
      </c>
      <c r="T7" s="231">
        <v>0.82</v>
      </c>
      <c r="U7" s="285">
        <v>330</v>
      </c>
      <c r="V7" s="107">
        <f t="shared" si="2"/>
        <v>0</v>
      </c>
      <c r="W7" s="624"/>
      <c r="X7" s="590"/>
      <c r="Y7" s="590"/>
      <c r="Z7" s="590"/>
      <c r="AA7" s="582"/>
      <c r="AB7" s="582"/>
      <c r="AC7" s="286">
        <f t="shared" si="3"/>
        <v>0</v>
      </c>
      <c r="AD7" s="255">
        <v>1</v>
      </c>
    </row>
    <row r="8" spans="1:30">
      <c r="A8" s="616"/>
      <c r="B8" s="292" t="s">
        <v>101</v>
      </c>
      <c r="C8" s="292">
        <f t="shared" si="0"/>
        <v>180</v>
      </c>
      <c r="D8" s="195">
        <v>0.82</v>
      </c>
      <c r="E8" s="290">
        <v>330</v>
      </c>
      <c r="F8" s="107">
        <f t="shared" si="1"/>
        <v>48708</v>
      </c>
      <c r="G8" s="624"/>
      <c r="H8" s="590"/>
      <c r="I8" s="590"/>
      <c r="J8" s="590"/>
      <c r="K8" s="582"/>
      <c r="L8" s="582"/>
      <c r="M8" s="255">
        <v>6</v>
      </c>
      <c r="N8" s="2">
        <v>6</v>
      </c>
      <c r="P8" s="287">
        <v>180</v>
      </c>
      <c r="Q8" s="660"/>
      <c r="R8" s="287" t="s">
        <v>101</v>
      </c>
      <c r="S8" s="287">
        <v>0</v>
      </c>
      <c r="T8" s="231">
        <v>0.82</v>
      </c>
      <c r="U8" s="285">
        <v>330</v>
      </c>
      <c r="V8" s="107">
        <f t="shared" si="2"/>
        <v>0</v>
      </c>
      <c r="W8" s="624"/>
      <c r="X8" s="590"/>
      <c r="Y8" s="590"/>
      <c r="Z8" s="590"/>
      <c r="AA8" s="582"/>
      <c r="AB8" s="582"/>
      <c r="AC8" s="286">
        <f t="shared" si="3"/>
        <v>0</v>
      </c>
      <c r="AD8" s="255">
        <v>6</v>
      </c>
    </row>
    <row r="9" spans="1:30">
      <c r="A9" s="624" t="s">
        <v>296</v>
      </c>
      <c r="B9" s="292" t="s">
        <v>150</v>
      </c>
      <c r="C9" s="292">
        <f t="shared" si="0"/>
        <v>745</v>
      </c>
      <c r="D9" s="195">
        <v>1.2</v>
      </c>
      <c r="E9" s="290">
        <v>330</v>
      </c>
      <c r="F9" s="107">
        <f t="shared" si="1"/>
        <v>295020</v>
      </c>
      <c r="G9" s="624">
        <v>7648</v>
      </c>
      <c r="H9" s="590">
        <v>14579</v>
      </c>
      <c r="I9" s="590">
        <v>685</v>
      </c>
      <c r="J9" s="590">
        <f>G9/H9*SUM(C9:C23)*I9</f>
        <v>3456532.4590163939</v>
      </c>
      <c r="K9" s="582">
        <f>J9+SUM(F9:F23)</f>
        <v>7199128.4590163939</v>
      </c>
      <c r="L9" s="582">
        <f>K9/SUM(C9:C23)</f>
        <v>748.42795082819362</v>
      </c>
      <c r="M9" s="255">
        <v>35</v>
      </c>
      <c r="N9" s="2">
        <v>25</v>
      </c>
      <c r="P9" s="287">
        <v>1045</v>
      </c>
      <c r="Q9" s="628" t="s">
        <v>296</v>
      </c>
      <c r="R9" s="287" t="s">
        <v>150</v>
      </c>
      <c r="S9" s="287">
        <v>300</v>
      </c>
      <c r="T9" s="231">
        <v>1.2</v>
      </c>
      <c r="U9" s="285">
        <v>330</v>
      </c>
      <c r="V9" s="107">
        <f t="shared" si="2"/>
        <v>118800</v>
      </c>
      <c r="W9" s="624">
        <v>7648</v>
      </c>
      <c r="X9" s="590">
        <v>14579</v>
      </c>
      <c r="Y9" s="590">
        <v>685</v>
      </c>
      <c r="Z9" s="590">
        <f>W9/X9*SUM(S9:S23)*Y9</f>
        <v>1782347.5409836066</v>
      </c>
      <c r="AA9" s="582">
        <f>Z9+SUM(V9:V23)</f>
        <v>3708392.5409836066</v>
      </c>
      <c r="AB9" s="582">
        <f>AA9/SUM(S9:S23)</f>
        <v>747.6597864886304</v>
      </c>
      <c r="AC9" s="286">
        <v>10</v>
      </c>
      <c r="AD9" s="255">
        <v>35</v>
      </c>
    </row>
    <row r="10" spans="1:30" ht="15" customHeight="1">
      <c r="A10" s="624"/>
      <c r="B10" s="292" t="s">
        <v>95</v>
      </c>
      <c r="C10" s="292">
        <f t="shared" si="0"/>
        <v>834</v>
      </c>
      <c r="D10" s="195">
        <v>1.2</v>
      </c>
      <c r="E10" s="290">
        <v>330</v>
      </c>
      <c r="F10" s="107">
        <f t="shared" si="1"/>
        <v>330264</v>
      </c>
      <c r="G10" s="624"/>
      <c r="H10" s="590"/>
      <c r="I10" s="590"/>
      <c r="J10" s="590"/>
      <c r="K10" s="582"/>
      <c r="L10" s="582"/>
      <c r="M10" s="255">
        <v>38</v>
      </c>
      <c r="N10" s="2">
        <v>28</v>
      </c>
      <c r="P10" s="287">
        <v>1134</v>
      </c>
      <c r="Q10" s="628"/>
      <c r="R10" s="287" t="s">
        <v>95</v>
      </c>
      <c r="S10" s="287">
        <v>300</v>
      </c>
      <c r="T10" s="231">
        <v>1.2</v>
      </c>
      <c r="U10" s="285">
        <v>330</v>
      </c>
      <c r="V10" s="107">
        <f t="shared" si="2"/>
        <v>118800</v>
      </c>
      <c r="W10" s="624"/>
      <c r="X10" s="590"/>
      <c r="Y10" s="590"/>
      <c r="Z10" s="590"/>
      <c r="AA10" s="582"/>
      <c r="AB10" s="582"/>
      <c r="AC10" s="286">
        <v>10</v>
      </c>
      <c r="AD10" s="255">
        <v>38</v>
      </c>
    </row>
    <row r="11" spans="1:30">
      <c r="A11" s="624"/>
      <c r="B11" s="292" t="s">
        <v>97</v>
      </c>
      <c r="C11" s="292">
        <f t="shared" si="0"/>
        <v>923</v>
      </c>
      <c r="D11" s="195">
        <v>1.2</v>
      </c>
      <c r="E11" s="290">
        <v>330</v>
      </c>
      <c r="F11" s="107">
        <f t="shared" si="1"/>
        <v>365507.99999999994</v>
      </c>
      <c r="G11" s="624"/>
      <c r="H11" s="590"/>
      <c r="I11" s="590"/>
      <c r="J11" s="590"/>
      <c r="K11" s="582"/>
      <c r="L11" s="582"/>
      <c r="M11" s="255">
        <v>40</v>
      </c>
      <c r="N11" s="2">
        <v>30</v>
      </c>
      <c r="P11" s="287">
        <v>1223</v>
      </c>
      <c r="Q11" s="628"/>
      <c r="R11" s="287" t="s">
        <v>97</v>
      </c>
      <c r="S11" s="287">
        <v>300</v>
      </c>
      <c r="T11" s="231">
        <v>1.2</v>
      </c>
      <c r="U11" s="285">
        <v>330</v>
      </c>
      <c r="V11" s="107">
        <f t="shared" si="2"/>
        <v>118800</v>
      </c>
      <c r="W11" s="624"/>
      <c r="X11" s="590"/>
      <c r="Y11" s="590"/>
      <c r="Z11" s="590"/>
      <c r="AA11" s="582"/>
      <c r="AB11" s="582"/>
      <c r="AC11" s="286">
        <v>10</v>
      </c>
      <c r="AD11" s="255">
        <v>40</v>
      </c>
    </row>
    <row r="12" spans="1:30">
      <c r="A12" s="624"/>
      <c r="B12" s="292" t="s">
        <v>114</v>
      </c>
      <c r="C12" s="292">
        <f t="shared" si="0"/>
        <v>397</v>
      </c>
      <c r="D12" s="195">
        <v>1.2</v>
      </c>
      <c r="E12" s="290">
        <v>330</v>
      </c>
      <c r="F12" s="107">
        <f t="shared" si="1"/>
        <v>157212</v>
      </c>
      <c r="G12" s="624"/>
      <c r="H12" s="590"/>
      <c r="I12" s="590"/>
      <c r="J12" s="590"/>
      <c r="K12" s="582"/>
      <c r="L12" s="582"/>
      <c r="M12" s="255">
        <v>20</v>
      </c>
      <c r="N12" s="2">
        <v>13</v>
      </c>
      <c r="P12" s="287">
        <v>607</v>
      </c>
      <c r="Q12" s="628"/>
      <c r="R12" s="287" t="s">
        <v>114</v>
      </c>
      <c r="S12" s="287">
        <v>210</v>
      </c>
      <c r="T12" s="231">
        <v>1.2</v>
      </c>
      <c r="U12" s="285">
        <v>330</v>
      </c>
      <c r="V12" s="107">
        <f t="shared" si="2"/>
        <v>83160</v>
      </c>
      <c r="W12" s="624"/>
      <c r="X12" s="590"/>
      <c r="Y12" s="590"/>
      <c r="Z12" s="590"/>
      <c r="AA12" s="582"/>
      <c r="AB12" s="582"/>
      <c r="AC12" s="286">
        <v>7</v>
      </c>
      <c r="AD12" s="255">
        <v>20</v>
      </c>
    </row>
    <row r="13" spans="1:30">
      <c r="A13" s="624"/>
      <c r="B13" s="292" t="s">
        <v>101</v>
      </c>
      <c r="C13" s="292">
        <f t="shared" si="0"/>
        <v>1000</v>
      </c>
      <c r="D13" s="195">
        <v>1.17</v>
      </c>
      <c r="E13" s="290">
        <v>330</v>
      </c>
      <c r="F13" s="107">
        <f t="shared" si="1"/>
        <v>386100</v>
      </c>
      <c r="G13" s="624"/>
      <c r="H13" s="590"/>
      <c r="I13" s="590"/>
      <c r="J13" s="590"/>
      <c r="K13" s="582"/>
      <c r="L13" s="582"/>
      <c r="M13" s="255">
        <v>30</v>
      </c>
      <c r="N13" s="2">
        <v>20</v>
      </c>
      <c r="P13" s="287">
        <v>1500</v>
      </c>
      <c r="Q13" s="628"/>
      <c r="R13" s="287" t="s">
        <v>101</v>
      </c>
      <c r="S13" s="287">
        <v>500</v>
      </c>
      <c r="T13" s="231">
        <v>1.17</v>
      </c>
      <c r="U13" s="285">
        <v>330</v>
      </c>
      <c r="V13" s="107">
        <f t="shared" si="2"/>
        <v>193050</v>
      </c>
      <c r="W13" s="624"/>
      <c r="X13" s="590"/>
      <c r="Y13" s="590"/>
      <c r="Z13" s="590"/>
      <c r="AA13" s="582"/>
      <c r="AB13" s="582"/>
      <c r="AC13" s="286">
        <v>10</v>
      </c>
      <c r="AD13" s="255">
        <v>30</v>
      </c>
    </row>
    <row r="14" spans="1:30" ht="15" customHeight="1">
      <c r="A14" s="624"/>
      <c r="B14" s="292" t="s">
        <v>150</v>
      </c>
      <c r="C14" s="292">
        <f t="shared" si="0"/>
        <v>835</v>
      </c>
      <c r="D14" s="195">
        <v>1.17</v>
      </c>
      <c r="E14" s="290">
        <v>330</v>
      </c>
      <c r="F14" s="107">
        <f t="shared" si="1"/>
        <v>322393.5</v>
      </c>
      <c r="G14" s="624"/>
      <c r="H14" s="590"/>
      <c r="I14" s="590"/>
      <c r="J14" s="590"/>
      <c r="K14" s="582"/>
      <c r="L14" s="582"/>
      <c r="M14" s="255">
        <v>26</v>
      </c>
      <c r="N14" s="2">
        <v>16</v>
      </c>
      <c r="P14" s="287">
        <v>1335</v>
      </c>
      <c r="Q14" s="628"/>
      <c r="R14" s="287" t="s">
        <v>150</v>
      </c>
      <c r="S14" s="287">
        <v>500</v>
      </c>
      <c r="T14" s="231">
        <v>1.17</v>
      </c>
      <c r="U14" s="285">
        <v>330</v>
      </c>
      <c r="V14" s="107">
        <f t="shared" si="2"/>
        <v>193050</v>
      </c>
      <c r="W14" s="624"/>
      <c r="X14" s="590"/>
      <c r="Y14" s="590"/>
      <c r="Z14" s="590"/>
      <c r="AA14" s="582"/>
      <c r="AB14" s="582"/>
      <c r="AC14" s="286">
        <v>10</v>
      </c>
      <c r="AD14" s="255">
        <v>26</v>
      </c>
    </row>
    <row r="15" spans="1:30">
      <c r="A15" s="624"/>
      <c r="B15" s="292" t="s">
        <v>245</v>
      </c>
      <c r="C15" s="292">
        <f t="shared" si="0"/>
        <v>736</v>
      </c>
      <c r="D15" s="195">
        <v>1.17</v>
      </c>
      <c r="E15" s="290">
        <v>330</v>
      </c>
      <c r="F15" s="107">
        <f t="shared" si="1"/>
        <v>284169.59999999998</v>
      </c>
      <c r="G15" s="624"/>
      <c r="H15" s="590"/>
      <c r="I15" s="590"/>
      <c r="J15" s="590"/>
      <c r="K15" s="582"/>
      <c r="L15" s="582"/>
      <c r="M15" s="255">
        <v>23</v>
      </c>
      <c r="N15" s="2">
        <v>15</v>
      </c>
      <c r="P15" s="287">
        <v>1136</v>
      </c>
      <c r="Q15" s="628"/>
      <c r="R15" s="287" t="s">
        <v>245</v>
      </c>
      <c r="S15" s="287">
        <v>400</v>
      </c>
      <c r="T15" s="231">
        <v>1.17</v>
      </c>
      <c r="U15" s="285">
        <v>330</v>
      </c>
      <c r="V15" s="107">
        <f t="shared" si="2"/>
        <v>154440</v>
      </c>
      <c r="W15" s="624"/>
      <c r="X15" s="590"/>
      <c r="Y15" s="590"/>
      <c r="Z15" s="590"/>
      <c r="AA15" s="582"/>
      <c r="AB15" s="582"/>
      <c r="AC15" s="286">
        <v>8</v>
      </c>
      <c r="AD15" s="255">
        <v>23</v>
      </c>
    </row>
    <row r="16" spans="1:30">
      <c r="A16" s="624"/>
      <c r="B16" s="292" t="s">
        <v>95</v>
      </c>
      <c r="C16" s="292">
        <f t="shared" si="0"/>
        <v>880</v>
      </c>
      <c r="D16" s="195">
        <v>1.17</v>
      </c>
      <c r="E16" s="290">
        <v>330</v>
      </c>
      <c r="F16" s="107">
        <f t="shared" si="1"/>
        <v>339767.99999999994</v>
      </c>
      <c r="G16" s="624"/>
      <c r="H16" s="590"/>
      <c r="I16" s="590"/>
      <c r="J16" s="590"/>
      <c r="K16" s="582"/>
      <c r="L16" s="582"/>
      <c r="M16" s="255">
        <v>30</v>
      </c>
      <c r="N16" s="2">
        <v>18</v>
      </c>
      <c r="P16" s="287">
        <v>1480</v>
      </c>
      <c r="Q16" s="628"/>
      <c r="R16" s="287" t="s">
        <v>95</v>
      </c>
      <c r="S16" s="287">
        <v>600</v>
      </c>
      <c r="T16" s="231">
        <v>1.17</v>
      </c>
      <c r="U16" s="285">
        <v>330</v>
      </c>
      <c r="V16" s="107">
        <f t="shared" si="2"/>
        <v>231660</v>
      </c>
      <c r="W16" s="624"/>
      <c r="X16" s="590"/>
      <c r="Y16" s="590"/>
      <c r="Z16" s="590"/>
      <c r="AA16" s="582"/>
      <c r="AB16" s="582"/>
      <c r="AC16" s="286">
        <v>12</v>
      </c>
      <c r="AD16" s="255">
        <v>30</v>
      </c>
    </row>
    <row r="17" spans="1:30">
      <c r="A17" s="624"/>
      <c r="B17" s="292" t="s">
        <v>100</v>
      </c>
      <c r="C17" s="292">
        <f t="shared" si="0"/>
        <v>373</v>
      </c>
      <c r="D17" s="195">
        <v>1.17</v>
      </c>
      <c r="E17" s="290">
        <v>330</v>
      </c>
      <c r="F17" s="107">
        <f t="shared" si="1"/>
        <v>144015.29999999999</v>
      </c>
      <c r="G17" s="624"/>
      <c r="H17" s="590"/>
      <c r="I17" s="590"/>
      <c r="J17" s="590"/>
      <c r="K17" s="582"/>
      <c r="L17" s="582"/>
      <c r="M17" s="255">
        <v>13</v>
      </c>
      <c r="N17" s="2">
        <v>8</v>
      </c>
      <c r="P17" s="287">
        <v>623</v>
      </c>
      <c r="Q17" s="628"/>
      <c r="R17" s="287" t="s">
        <v>100</v>
      </c>
      <c r="S17" s="287">
        <v>250</v>
      </c>
      <c r="T17" s="231">
        <v>1.17</v>
      </c>
      <c r="U17" s="285">
        <v>330</v>
      </c>
      <c r="V17" s="107">
        <f t="shared" si="2"/>
        <v>96525</v>
      </c>
      <c r="W17" s="624"/>
      <c r="X17" s="590"/>
      <c r="Y17" s="590"/>
      <c r="Z17" s="590"/>
      <c r="AA17" s="582"/>
      <c r="AB17" s="582"/>
      <c r="AC17" s="286">
        <v>5</v>
      </c>
      <c r="AD17" s="255">
        <v>13</v>
      </c>
    </row>
    <row r="18" spans="1:30" ht="15" customHeight="1">
      <c r="A18" s="624"/>
      <c r="B18" s="292" t="s">
        <v>102</v>
      </c>
      <c r="C18" s="292">
        <f t="shared" si="0"/>
        <v>772</v>
      </c>
      <c r="D18" s="195">
        <v>1.17</v>
      </c>
      <c r="E18" s="290">
        <v>330</v>
      </c>
      <c r="F18" s="107">
        <f t="shared" si="1"/>
        <v>298069.19999999995</v>
      </c>
      <c r="G18" s="624"/>
      <c r="H18" s="590"/>
      <c r="I18" s="590"/>
      <c r="J18" s="590"/>
      <c r="K18" s="582"/>
      <c r="L18" s="582"/>
      <c r="M18" s="255">
        <v>26</v>
      </c>
      <c r="N18" s="2">
        <v>16</v>
      </c>
      <c r="P18" s="287">
        <v>1272</v>
      </c>
      <c r="Q18" s="628"/>
      <c r="R18" s="287" t="s">
        <v>102</v>
      </c>
      <c r="S18" s="287">
        <v>500</v>
      </c>
      <c r="T18" s="231">
        <v>1.17</v>
      </c>
      <c r="U18" s="285">
        <v>330</v>
      </c>
      <c r="V18" s="107">
        <f t="shared" si="2"/>
        <v>193050</v>
      </c>
      <c r="W18" s="624"/>
      <c r="X18" s="590"/>
      <c r="Y18" s="590"/>
      <c r="Z18" s="590"/>
      <c r="AA18" s="582"/>
      <c r="AB18" s="582"/>
      <c r="AC18" s="286">
        <v>10</v>
      </c>
      <c r="AD18" s="255">
        <v>26</v>
      </c>
    </row>
    <row r="19" spans="1:30">
      <c r="A19" s="624"/>
      <c r="B19" s="292" t="s">
        <v>99</v>
      </c>
      <c r="C19" s="292">
        <f t="shared" si="0"/>
        <v>277</v>
      </c>
      <c r="D19" s="195">
        <v>1.17</v>
      </c>
      <c r="E19" s="290">
        <v>330</v>
      </c>
      <c r="F19" s="107">
        <f t="shared" si="1"/>
        <v>106949.7</v>
      </c>
      <c r="G19" s="624"/>
      <c r="H19" s="590"/>
      <c r="I19" s="590"/>
      <c r="J19" s="590"/>
      <c r="K19" s="582"/>
      <c r="L19" s="582"/>
      <c r="M19" s="255">
        <v>10</v>
      </c>
      <c r="N19" s="2">
        <v>6</v>
      </c>
      <c r="P19" s="287">
        <v>477</v>
      </c>
      <c r="Q19" s="628"/>
      <c r="R19" s="287" t="s">
        <v>99</v>
      </c>
      <c r="S19" s="287">
        <v>200</v>
      </c>
      <c r="T19" s="231">
        <v>1.17</v>
      </c>
      <c r="U19" s="285">
        <v>330</v>
      </c>
      <c r="V19" s="107">
        <f t="shared" si="2"/>
        <v>77220</v>
      </c>
      <c r="W19" s="624"/>
      <c r="X19" s="590"/>
      <c r="Y19" s="590"/>
      <c r="Z19" s="590"/>
      <c r="AA19" s="582"/>
      <c r="AB19" s="582"/>
      <c r="AC19" s="286">
        <v>4</v>
      </c>
      <c r="AD19" s="255">
        <v>10</v>
      </c>
    </row>
    <row r="20" spans="1:30">
      <c r="A20" s="624"/>
      <c r="B20" s="292" t="s">
        <v>307</v>
      </c>
      <c r="C20" s="292">
        <f t="shared" si="0"/>
        <v>417</v>
      </c>
      <c r="D20" s="195">
        <v>1.17</v>
      </c>
      <c r="E20" s="290">
        <v>330</v>
      </c>
      <c r="F20" s="107">
        <f t="shared" si="1"/>
        <v>161003.69999999998</v>
      </c>
      <c r="G20" s="624"/>
      <c r="H20" s="590"/>
      <c r="I20" s="590"/>
      <c r="J20" s="590"/>
      <c r="K20" s="582"/>
      <c r="L20" s="582"/>
      <c r="M20" s="255">
        <v>12</v>
      </c>
      <c r="N20" s="2">
        <v>8</v>
      </c>
      <c r="P20" s="287">
        <v>617</v>
      </c>
      <c r="Q20" s="628"/>
      <c r="R20" s="287" t="s">
        <v>307</v>
      </c>
      <c r="S20" s="287">
        <v>200</v>
      </c>
      <c r="T20" s="231">
        <v>1.17</v>
      </c>
      <c r="U20" s="285">
        <v>330</v>
      </c>
      <c r="V20" s="107">
        <f t="shared" si="2"/>
        <v>77220</v>
      </c>
      <c r="W20" s="624"/>
      <c r="X20" s="590"/>
      <c r="Y20" s="590"/>
      <c r="Z20" s="590"/>
      <c r="AA20" s="582"/>
      <c r="AB20" s="582"/>
      <c r="AC20" s="286">
        <v>4</v>
      </c>
      <c r="AD20" s="255">
        <v>12</v>
      </c>
    </row>
    <row r="21" spans="1:30" ht="15" customHeight="1">
      <c r="A21" s="624"/>
      <c r="B21" s="292" t="s">
        <v>302</v>
      </c>
      <c r="C21" s="292">
        <f t="shared" si="0"/>
        <v>481</v>
      </c>
      <c r="D21" s="195">
        <v>1.17</v>
      </c>
      <c r="E21" s="290">
        <v>330</v>
      </c>
      <c r="F21" s="107">
        <f t="shared" si="1"/>
        <v>185714.1</v>
      </c>
      <c r="G21" s="624"/>
      <c r="H21" s="590"/>
      <c r="I21" s="590"/>
      <c r="J21" s="590"/>
      <c r="K21" s="582"/>
      <c r="L21" s="582"/>
      <c r="M21" s="255">
        <v>15</v>
      </c>
      <c r="N21" s="2">
        <v>10</v>
      </c>
      <c r="P21" s="287">
        <v>731</v>
      </c>
      <c r="Q21" s="628"/>
      <c r="R21" s="287" t="s">
        <v>302</v>
      </c>
      <c r="S21" s="287">
        <v>250</v>
      </c>
      <c r="T21" s="231">
        <v>1.17</v>
      </c>
      <c r="U21" s="285">
        <v>330</v>
      </c>
      <c r="V21" s="107">
        <f t="shared" si="2"/>
        <v>96525</v>
      </c>
      <c r="W21" s="624"/>
      <c r="X21" s="590"/>
      <c r="Y21" s="590"/>
      <c r="Z21" s="590"/>
      <c r="AA21" s="582"/>
      <c r="AB21" s="582"/>
      <c r="AC21" s="286">
        <v>5</v>
      </c>
      <c r="AD21" s="255">
        <v>15</v>
      </c>
    </row>
    <row r="22" spans="1:30">
      <c r="A22" s="624"/>
      <c r="B22" s="292" t="s">
        <v>318</v>
      </c>
      <c r="C22" s="292">
        <f t="shared" si="0"/>
        <v>453</v>
      </c>
      <c r="D22" s="195">
        <v>1.17</v>
      </c>
      <c r="E22" s="290">
        <v>330</v>
      </c>
      <c r="F22" s="107">
        <f t="shared" si="1"/>
        <v>174903.3</v>
      </c>
      <c r="G22" s="624"/>
      <c r="H22" s="590"/>
      <c r="I22" s="590"/>
      <c r="J22" s="590"/>
      <c r="K22" s="582"/>
      <c r="L22" s="582"/>
      <c r="M22" s="255">
        <v>13</v>
      </c>
      <c r="N22" s="2">
        <v>9</v>
      </c>
      <c r="P22" s="287">
        <v>653</v>
      </c>
      <c r="Q22" s="628"/>
      <c r="R22" s="287" t="s">
        <v>318</v>
      </c>
      <c r="S22" s="287">
        <v>200</v>
      </c>
      <c r="T22" s="231">
        <v>1.17</v>
      </c>
      <c r="U22" s="285">
        <v>330</v>
      </c>
      <c r="V22" s="107">
        <f t="shared" si="2"/>
        <v>77220</v>
      </c>
      <c r="W22" s="624"/>
      <c r="X22" s="590"/>
      <c r="Y22" s="590"/>
      <c r="Z22" s="590"/>
      <c r="AA22" s="582"/>
      <c r="AB22" s="582"/>
      <c r="AC22" s="286">
        <v>4</v>
      </c>
      <c r="AD22" s="255">
        <v>13</v>
      </c>
    </row>
    <row r="23" spans="1:30" ht="25.5">
      <c r="A23" s="624"/>
      <c r="B23" s="291" t="s">
        <v>319</v>
      </c>
      <c r="C23" s="292">
        <f t="shared" si="0"/>
        <v>496</v>
      </c>
      <c r="D23" s="195">
        <v>1.17</v>
      </c>
      <c r="E23" s="290">
        <v>330</v>
      </c>
      <c r="F23" s="107">
        <f t="shared" si="1"/>
        <v>191505.59999999998</v>
      </c>
      <c r="G23" s="624"/>
      <c r="H23" s="590"/>
      <c r="I23" s="590"/>
      <c r="J23" s="590"/>
      <c r="K23" s="582"/>
      <c r="L23" s="582"/>
      <c r="M23" s="255">
        <v>15</v>
      </c>
      <c r="N23" s="2">
        <v>10</v>
      </c>
      <c r="P23" s="287">
        <v>746</v>
      </c>
      <c r="Q23" s="628"/>
      <c r="R23" s="288" t="s">
        <v>319</v>
      </c>
      <c r="S23" s="287">
        <v>250</v>
      </c>
      <c r="T23" s="231">
        <v>1.17</v>
      </c>
      <c r="U23" s="285">
        <v>330</v>
      </c>
      <c r="V23" s="107">
        <f t="shared" si="2"/>
        <v>96525</v>
      </c>
      <c r="W23" s="624"/>
      <c r="X23" s="590"/>
      <c r="Y23" s="590"/>
      <c r="Z23" s="590"/>
      <c r="AA23" s="582"/>
      <c r="AB23" s="582"/>
      <c r="AC23" s="286">
        <v>5</v>
      </c>
      <c r="AD23" s="255">
        <v>15</v>
      </c>
    </row>
    <row r="24" spans="1:30">
      <c r="A24" s="289" t="s">
        <v>4</v>
      </c>
      <c r="B24" s="289"/>
      <c r="C24" s="289">
        <f>SUM(C3:C23)</f>
        <v>11719</v>
      </c>
      <c r="D24" s="289"/>
      <c r="E24" s="289"/>
      <c r="F24" s="215">
        <f>SUM(F3:F23)</f>
        <v>4310856</v>
      </c>
      <c r="G24" s="289">
        <f>SUM(G3:G23)</f>
        <v>8448</v>
      </c>
      <c r="H24" s="215">
        <f>SUM(H3:H23)</f>
        <v>17579</v>
      </c>
      <c r="I24" s="289"/>
      <c r="J24" s="289">
        <f>SUM(J3:J23)</f>
        <v>3840132.4590163939</v>
      </c>
      <c r="K24" s="215">
        <f>SUM(K3:K23)</f>
        <v>8150988.4590163939</v>
      </c>
      <c r="L24" s="289"/>
      <c r="M24" s="215">
        <f>SUM(M3:M23)</f>
        <v>446</v>
      </c>
      <c r="N24" s="2">
        <f>SUM(N3:N23)</f>
        <v>302</v>
      </c>
      <c r="P24" s="284">
        <f>SUM(P3:P23)</f>
        <v>17579</v>
      </c>
      <c r="Q24" s="284" t="s">
        <v>4</v>
      </c>
      <c r="R24" s="284"/>
      <c r="S24" s="284">
        <f>SUM(S3:S23)</f>
        <v>5860</v>
      </c>
      <c r="T24" s="284"/>
      <c r="U24" s="284"/>
      <c r="V24" s="215">
        <f>SUM(V3:V23)</f>
        <v>2169585</v>
      </c>
      <c r="W24" s="284">
        <f>SUM(W3:W23)</f>
        <v>8448</v>
      </c>
      <c r="X24" s="215">
        <f>SUM(X3:X23)</f>
        <v>17579</v>
      </c>
      <c r="Y24" s="284"/>
      <c r="Z24" s="284">
        <f>SUM(Z3:Z23)</f>
        <v>1946747.5409836066</v>
      </c>
      <c r="AA24" s="215">
        <f>SUM(AA3:AA23)</f>
        <v>4116332.5409836066</v>
      </c>
      <c r="AB24" s="284"/>
      <c r="AC24" s="215">
        <f>SUM(AC3:AC23)</f>
        <v>144</v>
      </c>
      <c r="AD24" s="215">
        <f>SUM(AD3:AD23)</f>
        <v>446</v>
      </c>
    </row>
    <row r="25" spans="1:30">
      <c r="G25" s="1" t="s">
        <v>233</v>
      </c>
      <c r="H25" s="7">
        <f>K24+K25</f>
        <v>8232498.3436065577</v>
      </c>
      <c r="I25" s="655" t="s">
        <v>232</v>
      </c>
      <c r="J25" s="655"/>
      <c r="K25" s="1">
        <f>K24*1%</f>
        <v>81509.884590163943</v>
      </c>
      <c r="V25" s="558" t="s">
        <v>233</v>
      </c>
      <c r="W25" s="558"/>
      <c r="X25" s="7">
        <f>AA24+AA25</f>
        <v>4157495.8663934427</v>
      </c>
      <c r="Y25" s="558" t="s">
        <v>232</v>
      </c>
      <c r="Z25" s="558"/>
      <c r="AA25" s="1">
        <f>AA24*1%</f>
        <v>41163.32540983607</v>
      </c>
      <c r="AC25" s="293"/>
    </row>
    <row r="31" spans="1:30" ht="37.5">
      <c r="K31" s="661" t="s">
        <v>0</v>
      </c>
      <c r="L31" s="661"/>
      <c r="M31" s="140" t="s">
        <v>125</v>
      </c>
      <c r="N31" s="140" t="s">
        <v>126</v>
      </c>
      <c r="O31" s="140" t="s">
        <v>321</v>
      </c>
    </row>
    <row r="32" spans="1:30">
      <c r="K32" s="629" t="s">
        <v>292</v>
      </c>
      <c r="L32" s="296" t="s">
        <v>150</v>
      </c>
      <c r="M32" s="255">
        <v>29</v>
      </c>
      <c r="N32" s="2">
        <v>19</v>
      </c>
      <c r="O32" s="295">
        <v>10</v>
      </c>
    </row>
    <row r="33" spans="11:15">
      <c r="K33" s="629"/>
      <c r="L33" s="296" t="s">
        <v>97</v>
      </c>
      <c r="M33" s="255">
        <v>8</v>
      </c>
      <c r="N33" s="2">
        <v>8</v>
      </c>
      <c r="O33" s="295">
        <f t="shared" ref="O33:O37" si="4">E33/30</f>
        <v>0</v>
      </c>
    </row>
    <row r="34" spans="11:15">
      <c r="K34" s="629"/>
      <c r="L34" s="296" t="s">
        <v>95</v>
      </c>
      <c r="M34" s="255">
        <v>4</v>
      </c>
      <c r="N34" s="2">
        <v>4</v>
      </c>
      <c r="O34" s="295">
        <f t="shared" si="4"/>
        <v>0</v>
      </c>
    </row>
    <row r="35" spans="11:15">
      <c r="K35" s="629"/>
      <c r="L35" s="296" t="s">
        <v>299</v>
      </c>
      <c r="M35" s="255">
        <v>52</v>
      </c>
      <c r="N35" s="2">
        <v>32</v>
      </c>
      <c r="O35" s="295">
        <v>20</v>
      </c>
    </row>
    <row r="36" spans="11:15">
      <c r="K36" s="629"/>
      <c r="L36" s="296" t="s">
        <v>100</v>
      </c>
      <c r="M36" s="255">
        <v>1</v>
      </c>
      <c r="N36" s="2">
        <v>1</v>
      </c>
      <c r="O36" s="295">
        <f t="shared" si="4"/>
        <v>0</v>
      </c>
    </row>
    <row r="37" spans="11:15">
      <c r="K37" s="629"/>
      <c r="L37" s="296" t="s">
        <v>101</v>
      </c>
      <c r="M37" s="255">
        <v>6</v>
      </c>
      <c r="N37" s="2">
        <v>6</v>
      </c>
      <c r="O37" s="295">
        <f t="shared" si="4"/>
        <v>0</v>
      </c>
    </row>
    <row r="38" spans="11:15">
      <c r="K38" s="628" t="s">
        <v>296</v>
      </c>
      <c r="L38" s="296" t="s">
        <v>150</v>
      </c>
      <c r="M38" s="255">
        <v>35</v>
      </c>
      <c r="N38" s="2">
        <v>25</v>
      </c>
      <c r="O38" s="295">
        <v>10</v>
      </c>
    </row>
    <row r="39" spans="11:15">
      <c r="K39" s="628"/>
      <c r="L39" s="296" t="s">
        <v>95</v>
      </c>
      <c r="M39" s="255">
        <v>38</v>
      </c>
      <c r="N39" s="2">
        <v>28</v>
      </c>
      <c r="O39" s="295">
        <v>10</v>
      </c>
    </row>
    <row r="40" spans="11:15">
      <c r="K40" s="628"/>
      <c r="L40" s="296" t="s">
        <v>97</v>
      </c>
      <c r="M40" s="255">
        <v>40</v>
      </c>
      <c r="N40" s="2">
        <v>30</v>
      </c>
      <c r="O40" s="295">
        <v>10</v>
      </c>
    </row>
    <row r="41" spans="11:15">
      <c r="K41" s="628"/>
      <c r="L41" s="296" t="s">
        <v>114</v>
      </c>
      <c r="M41" s="255">
        <v>20</v>
      </c>
      <c r="N41" s="2">
        <v>13</v>
      </c>
      <c r="O41" s="295">
        <v>7</v>
      </c>
    </row>
    <row r="42" spans="11:15">
      <c r="K42" s="628"/>
      <c r="L42" s="296" t="s">
        <v>101</v>
      </c>
      <c r="M42" s="255">
        <v>30</v>
      </c>
      <c r="N42" s="2">
        <v>20</v>
      </c>
      <c r="O42" s="295">
        <v>10</v>
      </c>
    </row>
    <row r="43" spans="11:15">
      <c r="K43" s="628"/>
      <c r="L43" s="296" t="s">
        <v>150</v>
      </c>
      <c r="M43" s="255">
        <v>26</v>
      </c>
      <c r="N43" s="2">
        <v>16</v>
      </c>
      <c r="O43" s="295">
        <v>10</v>
      </c>
    </row>
    <row r="44" spans="11:15">
      <c r="K44" s="628"/>
      <c r="L44" s="296" t="s">
        <v>245</v>
      </c>
      <c r="M44" s="255">
        <v>23</v>
      </c>
      <c r="N44" s="2">
        <v>15</v>
      </c>
      <c r="O44" s="295">
        <v>8</v>
      </c>
    </row>
    <row r="45" spans="11:15">
      <c r="K45" s="628"/>
      <c r="L45" s="296" t="s">
        <v>95</v>
      </c>
      <c r="M45" s="255">
        <v>30</v>
      </c>
      <c r="N45" s="2">
        <v>18</v>
      </c>
      <c r="O45" s="295">
        <v>12</v>
      </c>
    </row>
    <row r="46" spans="11:15">
      <c r="K46" s="628"/>
      <c r="L46" s="296" t="s">
        <v>100</v>
      </c>
      <c r="M46" s="255">
        <v>13</v>
      </c>
      <c r="N46" s="2">
        <v>8</v>
      </c>
      <c r="O46" s="295">
        <v>5</v>
      </c>
    </row>
    <row r="47" spans="11:15">
      <c r="K47" s="628"/>
      <c r="L47" s="296" t="s">
        <v>102</v>
      </c>
      <c r="M47" s="255">
        <v>26</v>
      </c>
      <c r="N47" s="2">
        <v>16</v>
      </c>
      <c r="O47" s="295">
        <v>10</v>
      </c>
    </row>
    <row r="48" spans="11:15">
      <c r="K48" s="628"/>
      <c r="L48" s="296" t="s">
        <v>99</v>
      </c>
      <c r="M48" s="255">
        <v>10</v>
      </c>
      <c r="N48" s="2">
        <v>6</v>
      </c>
      <c r="O48" s="295">
        <v>4</v>
      </c>
    </row>
    <row r="49" spans="11:15">
      <c r="K49" s="628"/>
      <c r="L49" s="296" t="s">
        <v>307</v>
      </c>
      <c r="M49" s="255">
        <v>12</v>
      </c>
      <c r="N49" s="2">
        <v>8</v>
      </c>
      <c r="O49" s="295">
        <v>4</v>
      </c>
    </row>
    <row r="50" spans="11:15">
      <c r="K50" s="628"/>
      <c r="L50" s="296" t="s">
        <v>302</v>
      </c>
      <c r="M50" s="255">
        <v>15</v>
      </c>
      <c r="N50" s="2">
        <v>10</v>
      </c>
      <c r="O50" s="295">
        <v>5</v>
      </c>
    </row>
    <row r="51" spans="11:15">
      <c r="K51" s="628"/>
      <c r="L51" s="296" t="s">
        <v>318</v>
      </c>
      <c r="M51" s="255">
        <v>13</v>
      </c>
      <c r="N51" s="2">
        <v>9</v>
      </c>
      <c r="O51" s="295">
        <v>4</v>
      </c>
    </row>
    <row r="52" spans="11:15" ht="25.5">
      <c r="K52" s="628"/>
      <c r="L52" s="297" t="s">
        <v>319</v>
      </c>
      <c r="M52" s="255">
        <v>15</v>
      </c>
      <c r="N52" s="2">
        <v>10</v>
      </c>
      <c r="O52" s="295">
        <v>5</v>
      </c>
    </row>
    <row r="53" spans="11:15">
      <c r="K53" s="1"/>
      <c r="L53" s="1"/>
      <c r="M53" s="215">
        <f>SUM(M32:M52)</f>
        <v>446</v>
      </c>
      <c r="N53" s="2">
        <f>SUM(N32:N52)</f>
        <v>302</v>
      </c>
      <c r="O53" s="215">
        <f>SUM(O32:O52)</f>
        <v>144</v>
      </c>
    </row>
  </sheetData>
  <mergeCells count="37">
    <mergeCell ref="K32:K37"/>
    <mergeCell ref="K38:K52"/>
    <mergeCell ref="K31:L31"/>
    <mergeCell ref="Y25:Z25"/>
    <mergeCell ref="V25:W25"/>
    <mergeCell ref="M1:N1"/>
    <mergeCell ref="Y9:Y23"/>
    <mergeCell ref="Z9:Z23"/>
    <mergeCell ref="Q1:AB1"/>
    <mergeCell ref="Q3:Q8"/>
    <mergeCell ref="AA3:AA8"/>
    <mergeCell ref="AB3:AB8"/>
    <mergeCell ref="Q9:Q23"/>
    <mergeCell ref="AA9:AA23"/>
    <mergeCell ref="AB9:AB23"/>
    <mergeCell ref="W9:W23"/>
    <mergeCell ref="X9:X23"/>
    <mergeCell ref="W3:W8"/>
    <mergeCell ref="X3:X8"/>
    <mergeCell ref="Y3:Y8"/>
    <mergeCell ref="Z3:Z8"/>
    <mergeCell ref="I25:J25"/>
    <mergeCell ref="A1:L1"/>
    <mergeCell ref="A9:A23"/>
    <mergeCell ref="G9:G23"/>
    <mergeCell ref="H9:H23"/>
    <mergeCell ref="I9:I23"/>
    <mergeCell ref="J9:J23"/>
    <mergeCell ref="K9:K23"/>
    <mergeCell ref="L9:L23"/>
    <mergeCell ref="A3:A8"/>
    <mergeCell ref="G3:G8"/>
    <mergeCell ref="L3:L8"/>
    <mergeCell ref="K3:K8"/>
    <mergeCell ref="J3:J8"/>
    <mergeCell ref="I3:I8"/>
    <mergeCell ref="H3:H8"/>
  </mergeCells>
  <pageMargins left="0.59" right="0.14000000000000001" top="0.98" bottom="0.94" header="0.15" footer="0.1400000000000000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="77" zoomScaleNormal="77" workbookViewId="0">
      <selection activeCell="K37" sqref="A2:K37"/>
    </sheetView>
  </sheetViews>
  <sheetFormatPr defaultRowHeight="15"/>
  <cols>
    <col min="1" max="1" width="22.42578125" bestFit="1" customWidth="1"/>
    <col min="5" max="5" width="9.140625" style="13"/>
    <col min="7" max="7" width="10.140625" bestFit="1" customWidth="1"/>
    <col min="10" max="10" width="10.140625" style="17" bestFit="1" customWidth="1"/>
  </cols>
  <sheetData>
    <row r="2" spans="1:11" ht="18.75">
      <c r="A2" s="516" t="s">
        <v>20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</row>
    <row r="3" spans="1:11" ht="31.5">
      <c r="A3" s="5" t="s">
        <v>0</v>
      </c>
      <c r="B3" s="5" t="s">
        <v>1</v>
      </c>
      <c r="C3" s="5" t="s">
        <v>2</v>
      </c>
      <c r="D3" s="5" t="s">
        <v>3</v>
      </c>
      <c r="E3" s="14" t="s">
        <v>4</v>
      </c>
      <c r="F3" s="6" t="s">
        <v>5</v>
      </c>
      <c r="G3" s="5" t="s">
        <v>6</v>
      </c>
      <c r="H3" s="6" t="s">
        <v>7</v>
      </c>
      <c r="I3" s="5" t="s">
        <v>8</v>
      </c>
      <c r="J3" s="18" t="s">
        <v>9</v>
      </c>
      <c r="K3" s="6" t="s">
        <v>10</v>
      </c>
    </row>
    <row r="4" spans="1:11">
      <c r="A4" s="2" t="s">
        <v>22</v>
      </c>
      <c r="B4" s="1"/>
      <c r="C4" s="1"/>
      <c r="D4" s="1"/>
      <c r="E4" s="15"/>
      <c r="F4" s="1"/>
      <c r="G4" s="1"/>
      <c r="H4" s="1"/>
      <c r="I4" s="1"/>
      <c r="J4" s="19"/>
      <c r="K4" s="1"/>
    </row>
    <row r="5" spans="1:11">
      <c r="A5" s="1" t="s">
        <v>23</v>
      </c>
      <c r="B5" s="1">
        <v>2657</v>
      </c>
      <c r="C5" s="1">
        <v>1.47</v>
      </c>
      <c r="D5" s="1">
        <v>156.5</v>
      </c>
      <c r="E5" s="16">
        <f>B5*C5*D5</f>
        <v>611256.13500000001</v>
      </c>
      <c r="F5" s="1">
        <v>1932</v>
      </c>
      <c r="G5" s="1">
        <v>4157</v>
      </c>
      <c r="H5" s="1">
        <v>415</v>
      </c>
      <c r="I5" s="7">
        <f>F5/G5*B5*H5</f>
        <v>512467.99615107052</v>
      </c>
      <c r="J5" s="20">
        <f>I5+E5</f>
        <v>1123724.1311510706</v>
      </c>
      <c r="K5" s="7">
        <f>J5/B5</f>
        <v>422.92966923261974</v>
      </c>
    </row>
    <row r="6" spans="1:11">
      <c r="A6" s="1" t="s">
        <v>24</v>
      </c>
      <c r="B6" s="1">
        <v>1985</v>
      </c>
      <c r="C6" s="1">
        <v>1.47</v>
      </c>
      <c r="D6" s="1">
        <v>156.5</v>
      </c>
      <c r="E6" s="16">
        <f t="shared" ref="E6:E10" si="0">B6*C6*D6</f>
        <v>456659.17499999999</v>
      </c>
      <c r="F6" s="1">
        <v>1247</v>
      </c>
      <c r="G6" s="1">
        <v>2585</v>
      </c>
      <c r="H6" s="1">
        <v>415</v>
      </c>
      <c r="I6" s="7">
        <f t="shared" ref="I6:I10" si="1">F6/G6*B6*H6</f>
        <v>397387.78529980656</v>
      </c>
      <c r="J6" s="20">
        <f t="shared" ref="J6:J10" si="2">I6+E6</f>
        <v>854046.96029980655</v>
      </c>
      <c r="K6" s="7">
        <f t="shared" ref="K6:K10" si="3">J6/B6</f>
        <v>430.2503578336557</v>
      </c>
    </row>
    <row r="7" spans="1:11">
      <c r="A7" s="1" t="s">
        <v>26</v>
      </c>
      <c r="B7" s="1">
        <v>432</v>
      </c>
      <c r="C7" s="1">
        <v>1.54</v>
      </c>
      <c r="D7" s="1">
        <v>156.5</v>
      </c>
      <c r="E7" s="16">
        <f t="shared" si="0"/>
        <v>104116.31999999999</v>
      </c>
      <c r="F7" s="1">
        <v>304</v>
      </c>
      <c r="G7" s="1">
        <v>642</v>
      </c>
      <c r="H7" s="1">
        <v>415</v>
      </c>
      <c r="I7" s="7">
        <f t="shared" si="1"/>
        <v>84892.710280373838</v>
      </c>
      <c r="J7" s="20">
        <f t="shared" si="2"/>
        <v>189009.03028037382</v>
      </c>
      <c r="K7" s="7">
        <f t="shared" si="3"/>
        <v>437.52090342679122</v>
      </c>
    </row>
    <row r="8" spans="1:11">
      <c r="A8" s="1" t="s">
        <v>25</v>
      </c>
      <c r="B8" s="1">
        <v>424</v>
      </c>
      <c r="C8" s="1">
        <v>1.54</v>
      </c>
      <c r="D8" s="1">
        <v>156.5</v>
      </c>
      <c r="E8" s="16">
        <f t="shared" si="0"/>
        <v>102188.24</v>
      </c>
      <c r="F8" s="1">
        <v>300</v>
      </c>
      <c r="G8" s="1">
        <v>634</v>
      </c>
      <c r="H8" s="1">
        <v>415</v>
      </c>
      <c r="I8" s="7">
        <f t="shared" si="1"/>
        <v>83261.829652996836</v>
      </c>
      <c r="J8" s="20">
        <f t="shared" si="2"/>
        <v>185450.06965299684</v>
      </c>
      <c r="K8" s="7">
        <f t="shared" si="3"/>
        <v>437.38223974763406</v>
      </c>
    </row>
    <row r="9" spans="1:11">
      <c r="A9" s="1" t="s">
        <v>27</v>
      </c>
      <c r="B9" s="1">
        <v>492</v>
      </c>
      <c r="C9" s="1">
        <v>1.47</v>
      </c>
      <c r="D9" s="1">
        <v>156.5</v>
      </c>
      <c r="E9" s="16">
        <f t="shared" si="0"/>
        <v>113187.06</v>
      </c>
      <c r="F9" s="1">
        <v>349</v>
      </c>
      <c r="G9" s="1">
        <v>702</v>
      </c>
      <c r="H9" s="1">
        <v>415</v>
      </c>
      <c r="I9" s="7">
        <f t="shared" si="1"/>
        <v>101508.29059829059</v>
      </c>
      <c r="J9" s="20">
        <f t="shared" si="2"/>
        <v>214695.35059829059</v>
      </c>
      <c r="K9" s="7">
        <f t="shared" si="3"/>
        <v>436.37266381766381</v>
      </c>
    </row>
    <row r="10" spans="1:11">
      <c r="A10" s="1" t="s">
        <v>28</v>
      </c>
      <c r="B10" s="1">
        <v>800</v>
      </c>
      <c r="C10" s="1">
        <v>1.54</v>
      </c>
      <c r="D10" s="1">
        <v>156.5</v>
      </c>
      <c r="E10" s="16">
        <f t="shared" si="0"/>
        <v>192808</v>
      </c>
      <c r="F10" s="1">
        <v>486</v>
      </c>
      <c r="G10" s="1">
        <v>1010</v>
      </c>
      <c r="H10" s="1">
        <v>415</v>
      </c>
      <c r="I10" s="1">
        <f t="shared" si="1"/>
        <v>159754.45544554453</v>
      </c>
      <c r="J10" s="20">
        <f t="shared" si="2"/>
        <v>352562.45544554456</v>
      </c>
      <c r="K10" s="7">
        <f t="shared" si="3"/>
        <v>440.70306930693073</v>
      </c>
    </row>
    <row r="11" spans="1:11">
      <c r="A11" s="2"/>
      <c r="B11" s="1"/>
      <c r="C11" s="1"/>
      <c r="D11" s="1"/>
      <c r="E11" s="15"/>
      <c r="F11" s="1"/>
      <c r="G11" s="1"/>
      <c r="H11" s="1"/>
      <c r="I11" s="1"/>
      <c r="J11" s="19"/>
      <c r="K11" s="1"/>
    </row>
    <row r="12" spans="1:11">
      <c r="A12" s="2" t="s">
        <v>43</v>
      </c>
      <c r="B12" s="1">
        <v>978</v>
      </c>
      <c r="C12" s="1">
        <v>1.22</v>
      </c>
      <c r="D12" s="1">
        <v>156.5</v>
      </c>
      <c r="E12" s="16">
        <f t="shared" ref="E12:E36" si="4">B12*C12*D12</f>
        <v>186729.54</v>
      </c>
      <c r="F12" s="1">
        <v>394</v>
      </c>
      <c r="G12" s="1">
        <v>978</v>
      </c>
      <c r="H12" s="1">
        <v>415</v>
      </c>
      <c r="I12" s="7">
        <f t="shared" ref="I12:I36" si="5">F12/G12*B12*H12</f>
        <v>163510</v>
      </c>
      <c r="J12" s="20">
        <f t="shared" ref="J12:J36" si="6">I12+E12</f>
        <v>350239.54000000004</v>
      </c>
      <c r="K12" s="7">
        <f t="shared" ref="K12:K36" si="7">J12/B12</f>
        <v>358.11813905930472</v>
      </c>
    </row>
    <row r="13" spans="1:11">
      <c r="A13" s="2" t="s">
        <v>29</v>
      </c>
      <c r="B13" s="1">
        <v>1052</v>
      </c>
      <c r="C13" s="1">
        <v>1.1299999999999999</v>
      </c>
      <c r="D13" s="1">
        <v>156.5</v>
      </c>
      <c r="E13" s="16">
        <f t="shared" si="4"/>
        <v>186040.94</v>
      </c>
      <c r="F13" s="1">
        <v>396</v>
      </c>
      <c r="G13" s="1">
        <v>1052</v>
      </c>
      <c r="H13" s="1">
        <v>415</v>
      </c>
      <c r="I13" s="7">
        <f t="shared" si="5"/>
        <v>164340</v>
      </c>
      <c r="J13" s="20">
        <f t="shared" si="6"/>
        <v>350380.94</v>
      </c>
      <c r="K13" s="7">
        <f t="shared" si="7"/>
        <v>333.0617300380228</v>
      </c>
    </row>
    <row r="14" spans="1:11">
      <c r="A14" s="9" t="s">
        <v>30</v>
      </c>
      <c r="B14" s="1">
        <v>2047</v>
      </c>
      <c r="C14" s="1">
        <v>1.1299999999999999</v>
      </c>
      <c r="D14" s="1">
        <v>156.5</v>
      </c>
      <c r="E14" s="16">
        <f t="shared" si="4"/>
        <v>362001.71499999997</v>
      </c>
      <c r="F14" s="1">
        <v>768</v>
      </c>
      <c r="G14" s="1">
        <v>2047</v>
      </c>
      <c r="H14" s="1">
        <v>415</v>
      </c>
      <c r="I14" s="7">
        <f t="shared" si="5"/>
        <v>318720</v>
      </c>
      <c r="J14" s="20">
        <f t="shared" si="6"/>
        <v>680721.71499999997</v>
      </c>
      <c r="K14" s="7">
        <f t="shared" si="7"/>
        <v>332.5460258915486</v>
      </c>
    </row>
    <row r="15" spans="1:11">
      <c r="A15" s="1" t="s">
        <v>31</v>
      </c>
      <c r="B15" s="1">
        <v>2162</v>
      </c>
      <c r="C15" s="1">
        <v>1.22</v>
      </c>
      <c r="D15" s="1">
        <v>156.5</v>
      </c>
      <c r="E15" s="16">
        <f t="shared" si="4"/>
        <v>412790.66</v>
      </c>
      <c r="F15" s="1">
        <v>860</v>
      </c>
      <c r="G15" s="1">
        <v>2162</v>
      </c>
      <c r="H15" s="1">
        <v>415</v>
      </c>
      <c r="I15" s="7">
        <f t="shared" si="5"/>
        <v>356900</v>
      </c>
      <c r="J15" s="20">
        <f t="shared" si="6"/>
        <v>769690.65999999992</v>
      </c>
      <c r="K15" s="7">
        <f t="shared" si="7"/>
        <v>356.00863089731723</v>
      </c>
    </row>
    <row r="16" spans="1:11">
      <c r="A16" s="1" t="s">
        <v>32</v>
      </c>
      <c r="B16" s="1">
        <v>1020</v>
      </c>
      <c r="C16" s="1">
        <v>1.22</v>
      </c>
      <c r="D16" s="1">
        <v>156.5</v>
      </c>
      <c r="E16" s="16">
        <f t="shared" si="4"/>
        <v>194748.59999999998</v>
      </c>
      <c r="F16" s="1">
        <v>398</v>
      </c>
      <c r="G16" s="1">
        <v>1020</v>
      </c>
      <c r="H16" s="1">
        <v>415</v>
      </c>
      <c r="I16" s="7">
        <f t="shared" si="5"/>
        <v>165170</v>
      </c>
      <c r="J16" s="20">
        <f t="shared" si="6"/>
        <v>359918.6</v>
      </c>
      <c r="K16" s="7">
        <f t="shared" si="7"/>
        <v>352.86137254901956</v>
      </c>
    </row>
    <row r="17" spans="1:11">
      <c r="A17" s="1" t="s">
        <v>33</v>
      </c>
      <c r="B17" s="1">
        <v>600</v>
      </c>
      <c r="C17" s="1">
        <v>1.29</v>
      </c>
      <c r="D17" s="1">
        <v>156.5</v>
      </c>
      <c r="E17" s="16">
        <f t="shared" si="4"/>
        <v>121131</v>
      </c>
      <c r="F17" s="1">
        <v>230</v>
      </c>
      <c r="G17" s="1">
        <v>600</v>
      </c>
      <c r="H17" s="1">
        <v>415</v>
      </c>
      <c r="I17" s="7">
        <f t="shared" si="5"/>
        <v>95450.000000000015</v>
      </c>
      <c r="J17" s="20">
        <f t="shared" si="6"/>
        <v>216581</v>
      </c>
      <c r="K17" s="7">
        <f t="shared" si="7"/>
        <v>360.96833333333331</v>
      </c>
    </row>
    <row r="18" spans="1:11">
      <c r="A18" s="3" t="s">
        <v>34</v>
      </c>
      <c r="B18" s="1">
        <v>991</v>
      </c>
      <c r="C18" s="1">
        <v>1.36</v>
      </c>
      <c r="D18" s="1">
        <v>156.5</v>
      </c>
      <c r="E18" s="16">
        <f t="shared" si="4"/>
        <v>210924.44</v>
      </c>
      <c r="F18" s="1">
        <v>380</v>
      </c>
      <c r="G18" s="1">
        <v>991</v>
      </c>
      <c r="H18" s="1">
        <v>415</v>
      </c>
      <c r="I18" s="7">
        <f t="shared" si="5"/>
        <v>157700</v>
      </c>
      <c r="J18" s="20">
        <f t="shared" si="6"/>
        <v>368624.44</v>
      </c>
      <c r="K18" s="7">
        <f t="shared" si="7"/>
        <v>371.97218970736628</v>
      </c>
    </row>
    <row r="19" spans="1:11">
      <c r="A19" s="10" t="s">
        <v>35</v>
      </c>
      <c r="B19" s="1"/>
      <c r="C19" s="1"/>
      <c r="D19" s="1"/>
      <c r="E19" s="16">
        <f t="shared" si="4"/>
        <v>0</v>
      </c>
      <c r="F19" s="1"/>
      <c r="G19" s="1"/>
      <c r="H19" s="1"/>
      <c r="I19" s="7"/>
      <c r="J19" s="20">
        <f t="shared" si="6"/>
        <v>0</v>
      </c>
      <c r="K19" s="7"/>
    </row>
    <row r="20" spans="1:11">
      <c r="A20" s="11" t="s">
        <v>23</v>
      </c>
      <c r="B20" s="1">
        <v>1917</v>
      </c>
      <c r="C20" s="1">
        <v>1.79</v>
      </c>
      <c r="D20" s="1">
        <v>156.5</v>
      </c>
      <c r="E20" s="16">
        <f t="shared" si="4"/>
        <v>537018.79500000004</v>
      </c>
      <c r="F20" s="1">
        <v>1630</v>
      </c>
      <c r="G20" s="1">
        <v>2517</v>
      </c>
      <c r="H20" s="1">
        <v>415</v>
      </c>
      <c r="I20" s="7">
        <f t="shared" si="5"/>
        <v>515198.51013110846</v>
      </c>
      <c r="J20" s="20">
        <f t="shared" si="6"/>
        <v>1052217.3051311085</v>
      </c>
      <c r="K20" s="7">
        <f t="shared" si="7"/>
        <v>548.88748311481925</v>
      </c>
    </row>
    <row r="21" spans="1:11">
      <c r="A21" s="11" t="s">
        <v>27</v>
      </c>
      <c r="B21" s="1">
        <v>596</v>
      </c>
      <c r="C21" s="1">
        <v>1.79</v>
      </c>
      <c r="D21" s="1">
        <v>156.5</v>
      </c>
      <c r="E21" s="16">
        <f t="shared" si="4"/>
        <v>166960.46</v>
      </c>
      <c r="F21" s="1">
        <v>526</v>
      </c>
      <c r="G21" s="1">
        <v>806</v>
      </c>
      <c r="H21" s="1">
        <v>415</v>
      </c>
      <c r="I21" s="7">
        <f t="shared" si="5"/>
        <v>161415.43424317619</v>
      </c>
      <c r="J21" s="20">
        <f t="shared" si="6"/>
        <v>328375.89424317621</v>
      </c>
      <c r="K21" s="7">
        <f t="shared" si="7"/>
        <v>550.96626550868496</v>
      </c>
    </row>
    <row r="22" spans="1:11">
      <c r="A22" s="11" t="s">
        <v>26</v>
      </c>
      <c r="B22" s="1">
        <v>323</v>
      </c>
      <c r="C22" s="1">
        <v>1.86</v>
      </c>
      <c r="D22" s="1">
        <v>156.5</v>
      </c>
      <c r="E22" s="16">
        <f t="shared" si="4"/>
        <v>94022.07</v>
      </c>
      <c r="F22" s="1">
        <v>348</v>
      </c>
      <c r="G22" s="1">
        <v>533</v>
      </c>
      <c r="H22" s="1">
        <v>415</v>
      </c>
      <c r="I22" s="7">
        <f t="shared" si="5"/>
        <v>87519.061913696059</v>
      </c>
      <c r="J22" s="20">
        <f t="shared" si="6"/>
        <v>181541.13191369607</v>
      </c>
      <c r="K22" s="7">
        <f t="shared" si="7"/>
        <v>562.04684803001874</v>
      </c>
    </row>
    <row r="23" spans="1:11">
      <c r="A23" s="11" t="s">
        <v>28</v>
      </c>
      <c r="B23" s="1">
        <v>407</v>
      </c>
      <c r="C23" s="1">
        <v>1.86</v>
      </c>
      <c r="D23" s="1">
        <v>156.5</v>
      </c>
      <c r="E23" s="16">
        <f t="shared" si="4"/>
        <v>118473.63000000002</v>
      </c>
      <c r="F23" s="1">
        <v>409</v>
      </c>
      <c r="G23" s="1">
        <v>617</v>
      </c>
      <c r="H23" s="1">
        <v>415</v>
      </c>
      <c r="I23" s="7">
        <f t="shared" si="5"/>
        <v>111964.57860615882</v>
      </c>
      <c r="J23" s="20">
        <f t="shared" si="6"/>
        <v>230438.20860615885</v>
      </c>
      <c r="K23" s="7">
        <f t="shared" si="7"/>
        <v>566.18724473257703</v>
      </c>
    </row>
    <row r="24" spans="1:11">
      <c r="A24" s="10" t="s">
        <v>37</v>
      </c>
      <c r="B24" s="1"/>
      <c r="C24" s="1"/>
      <c r="D24" s="1"/>
      <c r="E24" s="16">
        <f t="shared" si="4"/>
        <v>0</v>
      </c>
      <c r="F24" s="1"/>
      <c r="G24" s="1"/>
      <c r="H24" s="1"/>
      <c r="I24" s="7"/>
      <c r="J24" s="20">
        <f t="shared" si="6"/>
        <v>0</v>
      </c>
      <c r="K24" s="7"/>
    </row>
    <row r="25" spans="1:11">
      <c r="A25" s="11" t="s">
        <v>28</v>
      </c>
      <c r="B25" s="1">
        <v>1955</v>
      </c>
      <c r="C25" s="1">
        <v>0.98</v>
      </c>
      <c r="D25" s="1">
        <v>156.5</v>
      </c>
      <c r="E25" s="16">
        <f t="shared" si="4"/>
        <v>299838.34999999998</v>
      </c>
      <c r="F25" s="1">
        <v>826</v>
      </c>
      <c r="G25" s="1">
        <v>2975</v>
      </c>
      <c r="H25" s="1">
        <v>415</v>
      </c>
      <c r="I25" s="7">
        <f t="shared" si="5"/>
        <v>225261.99999999997</v>
      </c>
      <c r="J25" s="20">
        <f t="shared" si="6"/>
        <v>525100.35</v>
      </c>
      <c r="K25" s="7">
        <f t="shared" si="7"/>
        <v>268.59352941176468</v>
      </c>
    </row>
    <row r="26" spans="1:11">
      <c r="A26" s="11" t="s">
        <v>23</v>
      </c>
      <c r="B26" s="1">
        <v>989</v>
      </c>
      <c r="C26" s="1">
        <v>0.98</v>
      </c>
      <c r="D26" s="1">
        <v>156.5</v>
      </c>
      <c r="E26" s="16">
        <f t="shared" si="4"/>
        <v>151682.93</v>
      </c>
      <c r="F26" s="1">
        <v>417</v>
      </c>
      <c r="G26" s="1">
        <v>1499</v>
      </c>
      <c r="H26" s="1">
        <v>415</v>
      </c>
      <c r="I26" s="7">
        <f t="shared" si="5"/>
        <v>114177.04803202135</v>
      </c>
      <c r="J26" s="20">
        <f t="shared" si="6"/>
        <v>265859.97803202132</v>
      </c>
      <c r="K26" s="7">
        <f t="shared" si="7"/>
        <v>268.81696464309539</v>
      </c>
    </row>
    <row r="27" spans="1:11">
      <c r="A27" s="11" t="s">
        <v>38</v>
      </c>
      <c r="B27" s="1">
        <v>344</v>
      </c>
      <c r="C27" s="1">
        <v>0.98</v>
      </c>
      <c r="D27" s="1">
        <v>156.5</v>
      </c>
      <c r="E27" s="16">
        <f t="shared" si="4"/>
        <v>52759.28</v>
      </c>
      <c r="F27" s="1">
        <v>183</v>
      </c>
      <c r="G27" s="1">
        <v>644</v>
      </c>
      <c r="H27" s="1">
        <v>415</v>
      </c>
      <c r="I27" s="7">
        <f t="shared" si="5"/>
        <v>40566.894409937893</v>
      </c>
      <c r="J27" s="20">
        <f t="shared" si="6"/>
        <v>93326.174409937899</v>
      </c>
      <c r="K27" s="7">
        <f t="shared" si="7"/>
        <v>271.2970186335404</v>
      </c>
    </row>
    <row r="28" spans="1:11">
      <c r="A28" s="11" t="s">
        <v>39</v>
      </c>
      <c r="B28" s="1">
        <v>450</v>
      </c>
      <c r="C28" s="1">
        <v>0.98</v>
      </c>
      <c r="D28" s="1">
        <v>156.5</v>
      </c>
      <c r="E28" s="16">
        <f t="shared" si="4"/>
        <v>69016.5</v>
      </c>
      <c r="F28" s="1">
        <v>209</v>
      </c>
      <c r="G28" s="1">
        <v>750</v>
      </c>
      <c r="H28" s="1">
        <v>415</v>
      </c>
      <c r="I28" s="7">
        <f t="shared" si="5"/>
        <v>52041</v>
      </c>
      <c r="J28" s="20">
        <f t="shared" si="6"/>
        <v>121057.5</v>
      </c>
      <c r="K28" s="7">
        <f t="shared" si="7"/>
        <v>269.01666666666665</v>
      </c>
    </row>
    <row r="29" spans="1:11">
      <c r="A29" s="11" t="s">
        <v>40</v>
      </c>
      <c r="B29" s="1">
        <v>249</v>
      </c>
      <c r="C29" s="1">
        <v>0.98</v>
      </c>
      <c r="D29" s="1">
        <v>156.5</v>
      </c>
      <c r="E29" s="16">
        <f t="shared" si="4"/>
        <v>38189.129999999997</v>
      </c>
      <c r="F29" s="1">
        <v>125</v>
      </c>
      <c r="G29" s="1">
        <v>449</v>
      </c>
      <c r="H29" s="1">
        <v>415</v>
      </c>
      <c r="I29" s="7">
        <f t="shared" si="5"/>
        <v>28768.095768374162</v>
      </c>
      <c r="J29" s="20">
        <f t="shared" si="6"/>
        <v>66957.225768374163</v>
      </c>
      <c r="K29" s="7">
        <f t="shared" si="7"/>
        <v>268.90452115812917</v>
      </c>
    </row>
    <row r="30" spans="1:11">
      <c r="A30" s="10" t="s">
        <v>41</v>
      </c>
      <c r="B30" s="1"/>
      <c r="C30" s="1"/>
      <c r="D30" s="1"/>
      <c r="E30" s="16">
        <f t="shared" si="4"/>
        <v>0</v>
      </c>
      <c r="F30" s="1"/>
      <c r="G30" s="1"/>
      <c r="H30" s="1"/>
      <c r="I30" s="7"/>
      <c r="J30" s="20">
        <f t="shared" si="6"/>
        <v>0</v>
      </c>
      <c r="K30" s="7"/>
    </row>
    <row r="31" spans="1:11">
      <c r="A31" s="11" t="s">
        <v>36</v>
      </c>
      <c r="B31" s="1">
        <v>619</v>
      </c>
      <c r="C31" s="1">
        <v>1.5</v>
      </c>
      <c r="D31" s="1">
        <v>156.5</v>
      </c>
      <c r="E31" s="16">
        <f t="shared" si="4"/>
        <v>145310.25</v>
      </c>
      <c r="F31" s="1">
        <v>230</v>
      </c>
      <c r="G31" s="1">
        <v>619</v>
      </c>
      <c r="H31" s="1">
        <v>415</v>
      </c>
      <c r="I31" s="7">
        <f t="shared" si="5"/>
        <v>95449.999999999985</v>
      </c>
      <c r="J31" s="20">
        <f t="shared" si="6"/>
        <v>240760.25</v>
      </c>
      <c r="K31" s="7">
        <f t="shared" si="7"/>
        <v>388.95032310177709</v>
      </c>
    </row>
    <row r="32" spans="1:11">
      <c r="A32" s="11" t="s">
        <v>23</v>
      </c>
      <c r="B32" s="1">
        <v>2002</v>
      </c>
      <c r="C32" s="1">
        <v>1.5</v>
      </c>
      <c r="D32" s="1">
        <v>156.5</v>
      </c>
      <c r="E32" s="16">
        <f t="shared" si="4"/>
        <v>469969.5</v>
      </c>
      <c r="F32" s="1">
        <v>730</v>
      </c>
      <c r="G32" s="1">
        <v>2002</v>
      </c>
      <c r="H32" s="1">
        <v>415</v>
      </c>
      <c r="I32" s="7">
        <f t="shared" si="5"/>
        <v>302950</v>
      </c>
      <c r="J32" s="20">
        <f t="shared" si="6"/>
        <v>772919.5</v>
      </c>
      <c r="K32" s="7">
        <f t="shared" si="7"/>
        <v>386.0736763236763</v>
      </c>
    </row>
    <row r="33" spans="1:11">
      <c r="A33" s="10" t="s">
        <v>42</v>
      </c>
      <c r="B33" s="1"/>
      <c r="C33" s="1"/>
      <c r="D33" s="1"/>
      <c r="E33" s="16">
        <f t="shared" si="4"/>
        <v>0</v>
      </c>
      <c r="F33" s="1"/>
      <c r="G33" s="1"/>
      <c r="H33" s="1"/>
      <c r="I33" s="7"/>
      <c r="J33" s="20">
        <f t="shared" si="6"/>
        <v>0</v>
      </c>
      <c r="K33" s="7"/>
    </row>
    <row r="34" spans="1:11">
      <c r="A34" s="11" t="s">
        <v>24</v>
      </c>
      <c r="B34" s="1">
        <v>149</v>
      </c>
      <c r="C34" s="1">
        <v>4.55</v>
      </c>
      <c r="D34" s="1">
        <v>156.5</v>
      </c>
      <c r="E34" s="16">
        <f t="shared" si="4"/>
        <v>106099.17499999999</v>
      </c>
      <c r="F34" s="1">
        <v>252</v>
      </c>
      <c r="G34" s="1">
        <v>299</v>
      </c>
      <c r="H34" s="1">
        <v>415</v>
      </c>
      <c r="I34" s="7">
        <f t="shared" si="5"/>
        <v>52115.117056856187</v>
      </c>
      <c r="J34" s="20">
        <f t="shared" si="6"/>
        <v>158214.29205685618</v>
      </c>
      <c r="K34" s="7">
        <f t="shared" si="7"/>
        <v>1061.8408862876254</v>
      </c>
    </row>
    <row r="35" spans="1:11">
      <c r="A35" s="11" t="s">
        <v>27</v>
      </c>
      <c r="B35" s="1">
        <v>120</v>
      </c>
      <c r="C35" s="1">
        <v>3.76</v>
      </c>
      <c r="D35" s="1">
        <v>156.5</v>
      </c>
      <c r="E35" s="16">
        <f t="shared" si="4"/>
        <v>70612.800000000003</v>
      </c>
      <c r="F35" s="1">
        <v>176</v>
      </c>
      <c r="G35" s="1">
        <v>210</v>
      </c>
      <c r="H35" s="1">
        <v>415</v>
      </c>
      <c r="I35" s="7">
        <f t="shared" si="5"/>
        <v>41737.142857142855</v>
      </c>
      <c r="J35" s="20">
        <f t="shared" si="6"/>
        <v>112349.94285714286</v>
      </c>
      <c r="K35" s="7">
        <f t="shared" si="7"/>
        <v>936.24952380952379</v>
      </c>
    </row>
    <row r="36" spans="1:11">
      <c r="A36" s="11" t="s">
        <v>28</v>
      </c>
      <c r="B36" s="1">
        <v>122.5</v>
      </c>
      <c r="C36" s="1">
        <v>4.55</v>
      </c>
      <c r="D36" s="1">
        <v>156.5</v>
      </c>
      <c r="E36" s="16">
        <f t="shared" si="4"/>
        <v>87229.1875</v>
      </c>
      <c r="F36" s="1">
        <v>175</v>
      </c>
      <c r="G36" s="1">
        <v>212.5</v>
      </c>
      <c r="H36" s="1">
        <v>415</v>
      </c>
      <c r="I36" s="7">
        <f t="shared" si="5"/>
        <v>41866.176470588231</v>
      </c>
      <c r="J36" s="20">
        <f t="shared" si="6"/>
        <v>129095.36397058822</v>
      </c>
      <c r="K36" s="7">
        <f t="shared" si="7"/>
        <v>1053.8397058823527</v>
      </c>
    </row>
    <row r="37" spans="1:11">
      <c r="A37" s="21" t="s">
        <v>9</v>
      </c>
      <c r="B37" s="22">
        <f>SUM(B5:B36)</f>
        <v>25882.5</v>
      </c>
      <c r="C37" s="1"/>
      <c r="D37" s="1"/>
      <c r="E37" s="12">
        <f>SUM(E5:E36)</f>
        <v>5661763.8824999994</v>
      </c>
      <c r="F37" s="1"/>
      <c r="G37" s="1"/>
      <c r="H37" s="1"/>
      <c r="I37" s="1"/>
      <c r="J37" s="12">
        <f>SUM(J5:J36)</f>
        <v>10293858.009417143</v>
      </c>
      <c r="K37" s="1"/>
    </row>
    <row r="43" spans="1:11" ht="18.75">
      <c r="A43" s="516" t="s">
        <v>44</v>
      </c>
      <c r="B43" s="516"/>
      <c r="C43" s="516"/>
      <c r="D43" s="516"/>
      <c r="E43" s="516"/>
      <c r="F43" s="516"/>
      <c r="G43" s="516"/>
      <c r="H43" s="516"/>
      <c r="I43" s="516"/>
      <c r="J43" s="516"/>
      <c r="K43" s="516"/>
    </row>
    <row r="44" spans="1:11" ht="31.5">
      <c r="A44" s="5" t="s">
        <v>0</v>
      </c>
      <c r="B44" s="5" t="s">
        <v>1</v>
      </c>
      <c r="C44" s="5" t="s">
        <v>2</v>
      </c>
      <c r="D44" s="5" t="s">
        <v>3</v>
      </c>
      <c r="E44" s="14" t="s">
        <v>4</v>
      </c>
      <c r="F44" s="6" t="s">
        <v>5</v>
      </c>
      <c r="G44" s="5" t="s">
        <v>6</v>
      </c>
      <c r="H44" s="6" t="s">
        <v>7</v>
      </c>
      <c r="I44" s="5" t="s">
        <v>8</v>
      </c>
      <c r="J44" s="18" t="s">
        <v>9</v>
      </c>
      <c r="K44" s="6" t="s">
        <v>10</v>
      </c>
    </row>
    <row r="45" spans="1:11">
      <c r="A45" s="2" t="s">
        <v>22</v>
      </c>
      <c r="B45" s="1"/>
      <c r="C45" s="1"/>
      <c r="D45" s="1"/>
      <c r="E45" s="15"/>
      <c r="F45" s="1"/>
      <c r="G45" s="1"/>
      <c r="H45" s="1"/>
      <c r="I45" s="1"/>
      <c r="J45" s="19"/>
      <c r="K45" s="1"/>
    </row>
    <row r="46" spans="1:11">
      <c r="A46" s="1" t="s">
        <v>23</v>
      </c>
      <c r="B46" s="1">
        <v>1500</v>
      </c>
      <c r="C46" s="1">
        <v>1.47</v>
      </c>
      <c r="D46" s="1">
        <v>156.5</v>
      </c>
      <c r="E46" s="16">
        <f>B46*C46*D46</f>
        <v>345082.5</v>
      </c>
      <c r="F46" s="1">
        <v>1932</v>
      </c>
      <c r="G46" s="1">
        <v>4157</v>
      </c>
      <c r="H46" s="1">
        <v>415</v>
      </c>
      <c r="I46" s="7">
        <f>F46/G46*B46*H46</f>
        <v>289312.00384892954</v>
      </c>
      <c r="J46" s="20">
        <f>I46+E46</f>
        <v>634394.50384892954</v>
      </c>
      <c r="K46" s="7">
        <f>J46/B46</f>
        <v>422.92966923261969</v>
      </c>
    </row>
    <row r="47" spans="1:11">
      <c r="A47" s="1" t="s">
        <v>24</v>
      </c>
      <c r="B47" s="1">
        <v>600</v>
      </c>
      <c r="C47" s="1">
        <v>1.47</v>
      </c>
      <c r="D47" s="1">
        <v>156.5</v>
      </c>
      <c r="E47" s="16">
        <f t="shared" ref="E47:E66" si="8">B47*C47*D47</f>
        <v>138033</v>
      </c>
      <c r="F47" s="1">
        <v>1247</v>
      </c>
      <c r="G47" s="1">
        <v>2585</v>
      </c>
      <c r="H47" s="1">
        <v>415</v>
      </c>
      <c r="I47" s="7">
        <f t="shared" ref="I47:I51" si="9">F47/G47*B47*H47</f>
        <v>120117.21470019341</v>
      </c>
      <c r="J47" s="20">
        <f t="shared" ref="J47:J66" si="10">I47+E47</f>
        <v>258150.21470019341</v>
      </c>
      <c r="K47" s="7">
        <f t="shared" ref="K47:K51" si="11">J47/B47</f>
        <v>430.2503578336557</v>
      </c>
    </row>
    <row r="48" spans="1:11">
      <c r="A48" s="1" t="s">
        <v>26</v>
      </c>
      <c r="B48" s="1">
        <v>210</v>
      </c>
      <c r="C48" s="1">
        <v>1.54</v>
      </c>
      <c r="D48" s="1">
        <v>156.5</v>
      </c>
      <c r="E48" s="16">
        <f t="shared" si="8"/>
        <v>50612.100000000006</v>
      </c>
      <c r="F48" s="1">
        <v>304</v>
      </c>
      <c r="G48" s="1">
        <v>642</v>
      </c>
      <c r="H48" s="1">
        <v>415</v>
      </c>
      <c r="I48" s="7">
        <f t="shared" si="9"/>
        <v>41267.289719626169</v>
      </c>
      <c r="J48" s="20">
        <f t="shared" si="10"/>
        <v>91879.389719626168</v>
      </c>
      <c r="K48" s="7">
        <f t="shared" si="11"/>
        <v>437.52090342679128</v>
      </c>
    </row>
    <row r="49" spans="1:11">
      <c r="A49" s="1" t="s">
        <v>25</v>
      </c>
      <c r="B49" s="1">
        <v>210</v>
      </c>
      <c r="C49" s="1">
        <v>1.54</v>
      </c>
      <c r="D49" s="1">
        <v>156.5</v>
      </c>
      <c r="E49" s="16">
        <f t="shared" si="8"/>
        <v>50612.100000000006</v>
      </c>
      <c r="F49" s="1">
        <v>300</v>
      </c>
      <c r="G49" s="1">
        <v>634</v>
      </c>
      <c r="H49" s="1">
        <v>415</v>
      </c>
      <c r="I49" s="7">
        <f t="shared" si="9"/>
        <v>41238.17034700315</v>
      </c>
      <c r="J49" s="20">
        <f t="shared" si="10"/>
        <v>91850.270347003156</v>
      </c>
      <c r="K49" s="7">
        <f t="shared" si="11"/>
        <v>437.38223974763406</v>
      </c>
    </row>
    <row r="50" spans="1:11">
      <c r="A50" s="1" t="s">
        <v>27</v>
      </c>
      <c r="B50" s="1">
        <v>210</v>
      </c>
      <c r="C50" s="1">
        <v>1.47</v>
      </c>
      <c r="D50" s="1">
        <v>156.5</v>
      </c>
      <c r="E50" s="16">
        <f t="shared" si="8"/>
        <v>48311.549999999996</v>
      </c>
      <c r="F50" s="1">
        <v>349</v>
      </c>
      <c r="G50" s="1">
        <v>702</v>
      </c>
      <c r="H50" s="1">
        <v>415</v>
      </c>
      <c r="I50" s="7">
        <f t="shared" si="9"/>
        <v>43326.709401709399</v>
      </c>
      <c r="J50" s="20">
        <f t="shared" si="10"/>
        <v>91638.259401709394</v>
      </c>
      <c r="K50" s="7">
        <f t="shared" si="11"/>
        <v>436.37266381766381</v>
      </c>
    </row>
    <row r="51" spans="1:11">
      <c r="A51" s="1" t="s">
        <v>28</v>
      </c>
      <c r="B51" s="1">
        <v>210</v>
      </c>
      <c r="C51" s="1">
        <v>1.54</v>
      </c>
      <c r="D51" s="1">
        <v>156.5</v>
      </c>
      <c r="E51" s="16">
        <f t="shared" si="8"/>
        <v>50612.100000000006</v>
      </c>
      <c r="F51" s="1">
        <v>486</v>
      </c>
      <c r="G51" s="1">
        <v>1010</v>
      </c>
      <c r="H51" s="1">
        <v>415</v>
      </c>
      <c r="I51" s="1">
        <f t="shared" si="9"/>
        <v>41935.544554455446</v>
      </c>
      <c r="J51" s="20">
        <f t="shared" si="10"/>
        <v>92547.644554455444</v>
      </c>
      <c r="K51" s="7">
        <f t="shared" si="11"/>
        <v>440.70306930693067</v>
      </c>
    </row>
    <row r="52" spans="1:11">
      <c r="A52" s="10" t="s">
        <v>35</v>
      </c>
      <c r="B52" s="1"/>
      <c r="C52" s="1"/>
      <c r="D52" s="1"/>
      <c r="E52" s="16">
        <f t="shared" si="8"/>
        <v>0</v>
      </c>
      <c r="F52" s="1"/>
      <c r="G52" s="1"/>
      <c r="H52" s="1"/>
      <c r="I52" s="7"/>
      <c r="J52" s="20">
        <f t="shared" si="10"/>
        <v>0</v>
      </c>
      <c r="K52" s="7"/>
    </row>
    <row r="53" spans="1:11">
      <c r="A53" s="11" t="s">
        <v>23</v>
      </c>
      <c r="B53" s="1">
        <v>600</v>
      </c>
      <c r="C53" s="1">
        <v>1.79</v>
      </c>
      <c r="D53" s="1">
        <v>156.5</v>
      </c>
      <c r="E53" s="16">
        <f t="shared" si="8"/>
        <v>168081</v>
      </c>
      <c r="F53" s="1">
        <v>1630</v>
      </c>
      <c r="G53" s="1">
        <v>2517</v>
      </c>
      <c r="H53" s="1">
        <v>415</v>
      </c>
      <c r="I53" s="7">
        <f t="shared" ref="I53:I56" si="12">F53/G53*B53*H53</f>
        <v>161251.48986889151</v>
      </c>
      <c r="J53" s="20">
        <f t="shared" si="10"/>
        <v>329332.48986889154</v>
      </c>
      <c r="K53" s="7">
        <f t="shared" ref="K53:K56" si="13">J53/B53</f>
        <v>548.88748311481925</v>
      </c>
    </row>
    <row r="54" spans="1:11">
      <c r="A54" s="11" t="s">
        <v>27</v>
      </c>
      <c r="B54" s="1">
        <v>210</v>
      </c>
      <c r="C54" s="1">
        <v>1.79</v>
      </c>
      <c r="D54" s="1">
        <v>156.5</v>
      </c>
      <c r="E54" s="16">
        <f t="shared" si="8"/>
        <v>58828.350000000006</v>
      </c>
      <c r="F54" s="1">
        <v>526</v>
      </c>
      <c r="G54" s="1">
        <v>806</v>
      </c>
      <c r="H54" s="1">
        <v>415</v>
      </c>
      <c r="I54" s="7">
        <f t="shared" si="12"/>
        <v>56874.565756823824</v>
      </c>
      <c r="J54" s="20">
        <f t="shared" si="10"/>
        <v>115702.91575682383</v>
      </c>
      <c r="K54" s="7">
        <f t="shared" si="13"/>
        <v>550.96626550868496</v>
      </c>
    </row>
    <row r="55" spans="1:11">
      <c r="A55" s="11" t="s">
        <v>26</v>
      </c>
      <c r="B55" s="1">
        <v>210</v>
      </c>
      <c r="C55" s="1">
        <v>1.86</v>
      </c>
      <c r="D55" s="1">
        <v>156.5</v>
      </c>
      <c r="E55" s="16">
        <f t="shared" si="8"/>
        <v>61128.9</v>
      </c>
      <c r="F55" s="1">
        <v>348</v>
      </c>
      <c r="G55" s="1">
        <v>533</v>
      </c>
      <c r="H55" s="1">
        <v>415</v>
      </c>
      <c r="I55" s="7">
        <f t="shared" si="12"/>
        <v>56900.938086303941</v>
      </c>
      <c r="J55" s="20">
        <f t="shared" si="10"/>
        <v>118029.83808630393</v>
      </c>
      <c r="K55" s="7">
        <f t="shared" si="13"/>
        <v>562.04684803001874</v>
      </c>
    </row>
    <row r="56" spans="1:11">
      <c r="A56" s="11" t="s">
        <v>28</v>
      </c>
      <c r="B56" s="1">
        <v>210</v>
      </c>
      <c r="C56" s="1">
        <v>1.86</v>
      </c>
      <c r="D56" s="1">
        <v>156.5</v>
      </c>
      <c r="E56" s="16">
        <f t="shared" si="8"/>
        <v>61128.9</v>
      </c>
      <c r="F56" s="1">
        <v>409</v>
      </c>
      <c r="G56" s="1">
        <v>617</v>
      </c>
      <c r="H56" s="1">
        <v>415</v>
      </c>
      <c r="I56" s="7">
        <f t="shared" si="12"/>
        <v>57770.421393841163</v>
      </c>
      <c r="J56" s="20">
        <f t="shared" si="10"/>
        <v>118899.32139384116</v>
      </c>
      <c r="K56" s="7">
        <f t="shared" si="13"/>
        <v>566.18724473257703</v>
      </c>
    </row>
    <row r="57" spans="1:11">
      <c r="A57" s="10" t="s">
        <v>37</v>
      </c>
      <c r="B57" s="1"/>
      <c r="C57" s="1"/>
      <c r="D57" s="1"/>
      <c r="E57" s="16">
        <f t="shared" si="8"/>
        <v>0</v>
      </c>
      <c r="F57" s="1"/>
      <c r="G57" s="1"/>
      <c r="H57" s="1"/>
      <c r="I57" s="7"/>
      <c r="J57" s="20">
        <f t="shared" si="10"/>
        <v>0</v>
      </c>
      <c r="K57" s="7"/>
    </row>
    <row r="58" spans="1:11">
      <c r="A58" s="11" t="s">
        <v>28</v>
      </c>
      <c r="B58" s="1">
        <v>1020</v>
      </c>
      <c r="C58" s="1">
        <v>0.98</v>
      </c>
      <c r="D58" s="1">
        <v>156.5</v>
      </c>
      <c r="E58" s="16">
        <f t="shared" si="8"/>
        <v>156437.4</v>
      </c>
      <c r="F58" s="1">
        <v>826</v>
      </c>
      <c r="G58" s="1">
        <v>2975</v>
      </c>
      <c r="H58" s="1">
        <v>415</v>
      </c>
      <c r="I58" s="7">
        <f t="shared" ref="I58:I62" si="14">F58/G58*B58*H58</f>
        <v>117528</v>
      </c>
      <c r="J58" s="20">
        <f t="shared" si="10"/>
        <v>273965.40000000002</v>
      </c>
      <c r="K58" s="7">
        <f t="shared" ref="K58:K62" si="15">J58/B58</f>
        <v>268.59352941176473</v>
      </c>
    </row>
    <row r="59" spans="1:11">
      <c r="A59" s="11" t="s">
        <v>23</v>
      </c>
      <c r="B59" s="1">
        <v>510</v>
      </c>
      <c r="C59" s="1">
        <v>0.98</v>
      </c>
      <c r="D59" s="1">
        <v>156.5</v>
      </c>
      <c r="E59" s="16">
        <f t="shared" si="8"/>
        <v>78218.7</v>
      </c>
      <c r="F59" s="1">
        <v>417</v>
      </c>
      <c r="G59" s="1">
        <v>1499</v>
      </c>
      <c r="H59" s="1">
        <v>415</v>
      </c>
      <c r="I59" s="7">
        <f t="shared" si="14"/>
        <v>58877.951967978646</v>
      </c>
      <c r="J59" s="20">
        <f t="shared" si="10"/>
        <v>137096.65196797863</v>
      </c>
      <c r="K59" s="7">
        <f t="shared" si="15"/>
        <v>268.81696464309533</v>
      </c>
    </row>
    <row r="60" spans="1:11">
      <c r="A60" s="11" t="s">
        <v>38</v>
      </c>
      <c r="B60" s="1">
        <v>300</v>
      </c>
      <c r="C60" s="1">
        <v>0.98</v>
      </c>
      <c r="D60" s="1">
        <v>156.5</v>
      </c>
      <c r="E60" s="16">
        <f t="shared" si="8"/>
        <v>46011</v>
      </c>
      <c r="F60" s="1">
        <v>183</v>
      </c>
      <c r="G60" s="1">
        <v>644</v>
      </c>
      <c r="H60" s="1">
        <v>415</v>
      </c>
      <c r="I60" s="7">
        <f t="shared" si="14"/>
        <v>35378.105590062107</v>
      </c>
      <c r="J60" s="20">
        <f t="shared" si="10"/>
        <v>81389.1055900621</v>
      </c>
      <c r="K60" s="7">
        <f t="shared" si="15"/>
        <v>271.29701863354035</v>
      </c>
    </row>
    <row r="61" spans="1:11">
      <c r="A61" s="11" t="s">
        <v>39</v>
      </c>
      <c r="B61" s="1">
        <v>300</v>
      </c>
      <c r="C61" s="1">
        <v>0.98</v>
      </c>
      <c r="D61" s="1">
        <v>156.5</v>
      </c>
      <c r="E61" s="16">
        <f t="shared" si="8"/>
        <v>46011</v>
      </c>
      <c r="F61" s="1">
        <v>209</v>
      </c>
      <c r="G61" s="1">
        <v>750</v>
      </c>
      <c r="H61" s="1">
        <v>415</v>
      </c>
      <c r="I61" s="7">
        <f t="shared" si="14"/>
        <v>34694</v>
      </c>
      <c r="J61" s="20">
        <f t="shared" si="10"/>
        <v>80705</v>
      </c>
      <c r="K61" s="7">
        <f t="shared" si="15"/>
        <v>269.01666666666665</v>
      </c>
    </row>
    <row r="62" spans="1:11">
      <c r="A62" s="11" t="s">
        <v>40</v>
      </c>
      <c r="B62" s="1">
        <v>200</v>
      </c>
      <c r="C62" s="1">
        <v>0.98</v>
      </c>
      <c r="D62" s="1">
        <v>156.5</v>
      </c>
      <c r="E62" s="16">
        <f t="shared" si="8"/>
        <v>30674</v>
      </c>
      <c r="F62" s="1">
        <v>125</v>
      </c>
      <c r="G62" s="1">
        <v>449</v>
      </c>
      <c r="H62" s="1">
        <v>415</v>
      </c>
      <c r="I62" s="7">
        <f t="shared" si="14"/>
        <v>23106.904231625835</v>
      </c>
      <c r="J62" s="20">
        <f t="shared" si="10"/>
        <v>53780.904231625835</v>
      </c>
      <c r="K62" s="7">
        <f t="shared" si="15"/>
        <v>268.90452115812917</v>
      </c>
    </row>
    <row r="63" spans="1:11">
      <c r="A63" s="10" t="s">
        <v>42</v>
      </c>
      <c r="B63" s="1"/>
      <c r="C63" s="1"/>
      <c r="D63" s="1"/>
      <c r="E63" s="16">
        <f t="shared" si="8"/>
        <v>0</v>
      </c>
      <c r="F63" s="1"/>
      <c r="G63" s="1"/>
      <c r="H63" s="1"/>
      <c r="I63" s="7"/>
      <c r="J63" s="20">
        <f t="shared" si="10"/>
        <v>0</v>
      </c>
      <c r="K63" s="7"/>
    </row>
    <row r="64" spans="1:11">
      <c r="A64" s="11" t="s">
        <v>24</v>
      </c>
      <c r="B64" s="1">
        <v>150</v>
      </c>
      <c r="C64" s="1">
        <v>4.55</v>
      </c>
      <c r="D64" s="1">
        <v>156.5</v>
      </c>
      <c r="E64" s="16">
        <f t="shared" si="8"/>
        <v>106811.25</v>
      </c>
      <c r="F64" s="1">
        <v>252</v>
      </c>
      <c r="G64" s="1">
        <v>299</v>
      </c>
      <c r="H64" s="1">
        <v>415</v>
      </c>
      <c r="I64" s="7">
        <f t="shared" ref="I64:I66" si="16">F64/G64*B64*H64</f>
        <v>52464.882943143813</v>
      </c>
      <c r="J64" s="20">
        <f t="shared" si="10"/>
        <v>159276.13294314381</v>
      </c>
      <c r="K64" s="7">
        <f t="shared" ref="K64:K66" si="17">J64/B64</f>
        <v>1061.8408862876254</v>
      </c>
    </row>
    <row r="65" spans="1:11">
      <c r="A65" s="11" t="s">
        <v>27</v>
      </c>
      <c r="B65" s="1">
        <v>90</v>
      </c>
      <c r="C65" s="1">
        <v>3.76</v>
      </c>
      <c r="D65" s="1">
        <v>156.5</v>
      </c>
      <c r="E65" s="16">
        <f t="shared" si="8"/>
        <v>52959.6</v>
      </c>
      <c r="F65" s="1">
        <v>176</v>
      </c>
      <c r="G65" s="1">
        <v>210</v>
      </c>
      <c r="H65" s="1">
        <v>415</v>
      </c>
      <c r="I65" s="7">
        <f t="shared" si="16"/>
        <v>31302.857142857145</v>
      </c>
      <c r="J65" s="20">
        <f t="shared" si="10"/>
        <v>84262.457142857136</v>
      </c>
      <c r="K65" s="7">
        <f t="shared" si="17"/>
        <v>936.24952380952368</v>
      </c>
    </row>
    <row r="66" spans="1:11">
      <c r="A66" s="11" t="s">
        <v>28</v>
      </c>
      <c r="B66" s="1">
        <v>90</v>
      </c>
      <c r="C66" s="1">
        <v>4.55</v>
      </c>
      <c r="D66" s="1">
        <v>156.5</v>
      </c>
      <c r="E66" s="16">
        <f t="shared" si="8"/>
        <v>64086.75</v>
      </c>
      <c r="F66" s="1">
        <v>175</v>
      </c>
      <c r="G66" s="1">
        <v>212.5</v>
      </c>
      <c r="H66" s="1">
        <v>415</v>
      </c>
      <c r="I66" s="7">
        <f t="shared" si="16"/>
        <v>30758.823529411762</v>
      </c>
      <c r="J66" s="20">
        <f t="shared" si="10"/>
        <v>94845.573529411762</v>
      </c>
      <c r="K66" s="7">
        <f t="shared" si="17"/>
        <v>1053.839705882353</v>
      </c>
    </row>
    <row r="67" spans="1:11">
      <c r="A67" s="21" t="s">
        <v>9</v>
      </c>
      <c r="B67" s="22">
        <f>SUM(B46:B66)</f>
        <v>6830</v>
      </c>
      <c r="C67" s="1"/>
      <c r="D67" s="1"/>
      <c r="E67" s="16">
        <f>SUM(E46:E66)</f>
        <v>1613640.2</v>
      </c>
      <c r="F67" s="1"/>
      <c r="G67" s="1"/>
      <c r="H67" s="1"/>
      <c r="I67" s="1"/>
      <c r="J67" s="12">
        <f>SUM(J46:J66)</f>
        <v>2907746.0730828564</v>
      </c>
      <c r="K67" s="1"/>
    </row>
  </sheetData>
  <mergeCells count="2">
    <mergeCell ref="A2:K2"/>
    <mergeCell ref="A43:K43"/>
  </mergeCells>
  <pageMargins left="0.74" right="0.14000000000000001" top="1.2" bottom="0" header="0.3" footer="0.78"/>
  <pageSetup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H1" workbookViewId="0">
      <selection activeCell="P1" sqref="P1:AC11"/>
    </sheetView>
  </sheetViews>
  <sheetFormatPr defaultRowHeight="15"/>
  <cols>
    <col min="3" max="3" width="8.5703125" customWidth="1"/>
    <col min="4" max="4" width="5.140625" customWidth="1"/>
    <col min="5" max="5" width="4.7109375" customWidth="1"/>
    <col min="7" max="7" width="8" customWidth="1"/>
    <col min="9" max="9" width="5.85546875" customWidth="1"/>
    <col min="10" max="10" width="7.85546875" customWidth="1"/>
    <col min="12" max="12" width="8.7109375" customWidth="1"/>
    <col min="13" max="13" width="11.28515625" customWidth="1"/>
    <col min="14" max="14" width="11.7109375" customWidth="1"/>
    <col min="16" max="16" width="7.5703125" customWidth="1"/>
    <col min="18" max="18" width="7" customWidth="1"/>
    <col min="19" max="19" width="4.140625" customWidth="1"/>
    <col min="20" max="20" width="6" customWidth="1"/>
    <col min="22" max="22" width="7.5703125" customWidth="1"/>
    <col min="23" max="23" width="8.85546875" customWidth="1"/>
    <col min="24" max="24" width="7.28515625" customWidth="1"/>
    <col min="27" max="27" width="6.85546875" customWidth="1"/>
    <col min="28" max="28" width="7.28515625" customWidth="1"/>
    <col min="29" max="29" width="6.42578125" customWidth="1"/>
  </cols>
  <sheetData>
    <row r="1" spans="1:29" ht="28.5">
      <c r="A1" s="605" t="s">
        <v>141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313">
        <v>45235</v>
      </c>
      <c r="N1" s="314"/>
      <c r="P1" s="605" t="s">
        <v>195</v>
      </c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70">
        <v>45235</v>
      </c>
      <c r="AC1" s="612"/>
    </row>
    <row r="2" spans="1:29" ht="63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312" t="s">
        <v>326</v>
      </c>
      <c r="P2" s="100" t="s">
        <v>0</v>
      </c>
      <c r="Q2" s="100" t="s">
        <v>140</v>
      </c>
      <c r="R2" s="103" t="s">
        <v>123</v>
      </c>
      <c r="S2" s="101" t="s">
        <v>2</v>
      </c>
      <c r="T2" s="101" t="s">
        <v>3</v>
      </c>
      <c r="U2" s="102" t="s">
        <v>4</v>
      </c>
      <c r="V2" s="103" t="s">
        <v>5</v>
      </c>
      <c r="W2" s="103" t="s">
        <v>6</v>
      </c>
      <c r="X2" s="103" t="s">
        <v>7</v>
      </c>
      <c r="Y2" s="101" t="s">
        <v>8</v>
      </c>
      <c r="Z2" s="104" t="s">
        <v>9</v>
      </c>
      <c r="AA2" s="103" t="s">
        <v>10</v>
      </c>
      <c r="AB2" s="311" t="s">
        <v>325</v>
      </c>
      <c r="AC2" s="124" t="s">
        <v>250</v>
      </c>
    </row>
    <row r="3" spans="1:29" ht="15" customHeight="1">
      <c r="A3" s="664" t="s">
        <v>294</v>
      </c>
      <c r="B3" s="300" t="s">
        <v>101</v>
      </c>
      <c r="C3" s="300">
        <f>N3-R3</f>
        <v>1596</v>
      </c>
      <c r="D3" s="195">
        <v>1.1100000000000001</v>
      </c>
      <c r="E3" s="299">
        <v>300</v>
      </c>
      <c r="F3" s="107">
        <f>C3*D3*E3</f>
        <v>531468</v>
      </c>
      <c r="G3" s="667">
        <v>5156</v>
      </c>
      <c r="H3" s="540">
        <v>11135</v>
      </c>
      <c r="I3" s="540">
        <v>720</v>
      </c>
      <c r="J3" s="540">
        <f>G3/H3*SUM(C3:C9)*I3</f>
        <v>2228725.5680287383</v>
      </c>
      <c r="K3" s="598">
        <f>J3+SUM(F3:F9)</f>
        <v>4454830.5680287387</v>
      </c>
      <c r="L3" s="598">
        <f>K3/SUM(C3:C9)</f>
        <v>666.39200718455334</v>
      </c>
      <c r="M3" s="2">
        <v>32</v>
      </c>
      <c r="N3" s="300">
        <f>50*52+46</f>
        <v>2646</v>
      </c>
      <c r="P3" s="624" t="s">
        <v>294</v>
      </c>
      <c r="Q3" s="306" t="s">
        <v>101</v>
      </c>
      <c r="R3" s="306">
        <v>1050</v>
      </c>
      <c r="S3" s="195">
        <v>1.1100000000000001</v>
      </c>
      <c r="T3" s="305">
        <v>300</v>
      </c>
      <c r="U3" s="107">
        <f>R3*S3*T3</f>
        <v>349650</v>
      </c>
      <c r="V3" s="624">
        <v>5156</v>
      </c>
      <c r="W3" s="590">
        <v>11135</v>
      </c>
      <c r="X3" s="590">
        <v>720</v>
      </c>
      <c r="Y3" s="590">
        <f>V3/W3*SUM(R3:R9)*X3</f>
        <v>1483594.431971262</v>
      </c>
      <c r="Z3" s="582">
        <f>Y3+SUM(U3:U9)</f>
        <v>2965444.4319712622</v>
      </c>
      <c r="AA3" s="582">
        <f>Z3/SUM(R3:R9)</f>
        <v>666.39200718455334</v>
      </c>
      <c r="AB3" s="2">
        <v>53</v>
      </c>
      <c r="AC3" s="2">
        <v>21</v>
      </c>
    </row>
    <row r="4" spans="1:29">
      <c r="A4" s="665"/>
      <c r="B4" s="300" t="s">
        <v>282</v>
      </c>
      <c r="C4" s="300">
        <f t="shared" ref="C4:C9" si="0">N4-R4</f>
        <v>1249.5</v>
      </c>
      <c r="D4" s="195">
        <v>1.1100000000000001</v>
      </c>
      <c r="E4" s="299">
        <v>300</v>
      </c>
      <c r="F4" s="107">
        <f t="shared" ref="F4:F9" si="1">C4*D4*E4</f>
        <v>416083.50000000006</v>
      </c>
      <c r="G4" s="668"/>
      <c r="H4" s="549"/>
      <c r="I4" s="549"/>
      <c r="J4" s="549"/>
      <c r="K4" s="601"/>
      <c r="L4" s="601"/>
      <c r="M4" s="2">
        <v>25</v>
      </c>
      <c r="N4" s="300">
        <f>50*38+50.5+48+51</f>
        <v>2049.5</v>
      </c>
      <c r="P4" s="624"/>
      <c r="Q4" s="306" t="s">
        <v>282</v>
      </c>
      <c r="R4" s="306">
        <v>800</v>
      </c>
      <c r="S4" s="195">
        <v>1.1100000000000001</v>
      </c>
      <c r="T4" s="305">
        <v>300</v>
      </c>
      <c r="U4" s="107">
        <f t="shared" ref="U4:U9" si="2">R4*S4*T4</f>
        <v>266400.00000000006</v>
      </c>
      <c r="V4" s="624"/>
      <c r="W4" s="590"/>
      <c r="X4" s="590"/>
      <c r="Y4" s="590"/>
      <c r="Z4" s="582"/>
      <c r="AA4" s="582"/>
      <c r="AB4" s="2">
        <v>41</v>
      </c>
      <c r="AC4" s="2">
        <v>16</v>
      </c>
    </row>
    <row r="5" spans="1:29">
      <c r="A5" s="665"/>
      <c r="B5" s="300" t="s">
        <v>95</v>
      </c>
      <c r="C5" s="300">
        <f t="shared" si="0"/>
        <v>1274.5</v>
      </c>
      <c r="D5" s="195">
        <v>1.1100000000000001</v>
      </c>
      <c r="E5" s="299">
        <v>300</v>
      </c>
      <c r="F5" s="107">
        <f t="shared" si="1"/>
        <v>424408.50000000006</v>
      </c>
      <c r="G5" s="668"/>
      <c r="H5" s="549"/>
      <c r="I5" s="549"/>
      <c r="J5" s="549"/>
      <c r="K5" s="601"/>
      <c r="L5" s="601"/>
      <c r="M5" s="2">
        <v>25</v>
      </c>
      <c r="N5" s="300">
        <f>50*39+48+51+75.5</f>
        <v>2124.5</v>
      </c>
      <c r="P5" s="624"/>
      <c r="Q5" s="306" t="s">
        <v>95</v>
      </c>
      <c r="R5" s="306">
        <v>850</v>
      </c>
      <c r="S5" s="195">
        <v>1.1100000000000001</v>
      </c>
      <c r="T5" s="305">
        <v>300</v>
      </c>
      <c r="U5" s="107">
        <f t="shared" si="2"/>
        <v>283050.00000000006</v>
      </c>
      <c r="V5" s="624"/>
      <c r="W5" s="590"/>
      <c r="X5" s="590"/>
      <c r="Y5" s="590"/>
      <c r="Z5" s="582"/>
      <c r="AA5" s="582"/>
      <c r="AB5" s="2">
        <v>42</v>
      </c>
      <c r="AC5" s="2">
        <v>17</v>
      </c>
    </row>
    <row r="6" spans="1:29">
      <c r="A6" s="665"/>
      <c r="B6" s="300" t="s">
        <v>150</v>
      </c>
      <c r="C6" s="300">
        <f t="shared" si="0"/>
        <v>909.5</v>
      </c>
      <c r="D6" s="195">
        <v>1.1100000000000001</v>
      </c>
      <c r="E6" s="299">
        <v>300</v>
      </c>
      <c r="F6" s="107">
        <f t="shared" si="1"/>
        <v>302863.5</v>
      </c>
      <c r="G6" s="668"/>
      <c r="H6" s="549"/>
      <c r="I6" s="549"/>
      <c r="J6" s="549"/>
      <c r="K6" s="601"/>
      <c r="L6" s="601"/>
      <c r="M6" s="2">
        <v>18</v>
      </c>
      <c r="N6" s="300">
        <f>50*28+48+48.5+63</f>
        <v>1559.5</v>
      </c>
      <c r="P6" s="624"/>
      <c r="Q6" s="306" t="s">
        <v>150</v>
      </c>
      <c r="R6" s="306">
        <v>650</v>
      </c>
      <c r="S6" s="195">
        <v>1.1100000000000001</v>
      </c>
      <c r="T6" s="305">
        <v>300</v>
      </c>
      <c r="U6" s="107">
        <f t="shared" si="2"/>
        <v>216450.00000000003</v>
      </c>
      <c r="V6" s="624"/>
      <c r="W6" s="590"/>
      <c r="X6" s="590"/>
      <c r="Y6" s="590"/>
      <c r="Z6" s="582"/>
      <c r="AA6" s="582"/>
      <c r="AB6" s="2">
        <v>31</v>
      </c>
      <c r="AC6" s="2">
        <v>13</v>
      </c>
    </row>
    <row r="7" spans="1:29">
      <c r="A7" s="665"/>
      <c r="B7" s="300" t="s">
        <v>114</v>
      </c>
      <c r="C7" s="300">
        <f t="shared" si="0"/>
        <v>413.5</v>
      </c>
      <c r="D7" s="195">
        <v>1.1100000000000001</v>
      </c>
      <c r="E7" s="299">
        <v>300</v>
      </c>
      <c r="F7" s="107">
        <f t="shared" si="1"/>
        <v>137695.5</v>
      </c>
      <c r="G7" s="668"/>
      <c r="H7" s="549"/>
      <c r="I7" s="549"/>
      <c r="J7" s="549"/>
      <c r="K7" s="601"/>
      <c r="L7" s="601"/>
      <c r="M7" s="2">
        <v>8</v>
      </c>
      <c r="N7" s="300">
        <f>50*11+48.5+65</f>
        <v>663.5</v>
      </c>
      <c r="P7" s="624"/>
      <c r="Q7" s="306" t="s">
        <v>114</v>
      </c>
      <c r="R7" s="306">
        <v>250</v>
      </c>
      <c r="S7" s="195">
        <v>1.1100000000000001</v>
      </c>
      <c r="T7" s="305">
        <v>300</v>
      </c>
      <c r="U7" s="107">
        <f t="shared" si="2"/>
        <v>83250</v>
      </c>
      <c r="V7" s="624"/>
      <c r="W7" s="590"/>
      <c r="X7" s="590"/>
      <c r="Y7" s="590"/>
      <c r="Z7" s="582"/>
      <c r="AA7" s="582"/>
      <c r="AB7" s="2">
        <v>13</v>
      </c>
      <c r="AC7" s="2">
        <v>5</v>
      </c>
    </row>
    <row r="8" spans="1:29">
      <c r="A8" s="665"/>
      <c r="B8" s="300" t="s">
        <v>322</v>
      </c>
      <c r="C8" s="300">
        <f t="shared" si="0"/>
        <v>647</v>
      </c>
      <c r="D8" s="195">
        <v>1.1100000000000001</v>
      </c>
      <c r="E8" s="299">
        <v>300</v>
      </c>
      <c r="F8" s="107">
        <f t="shared" si="1"/>
        <v>215451.00000000003</v>
      </c>
      <c r="G8" s="668"/>
      <c r="H8" s="549"/>
      <c r="I8" s="549"/>
      <c r="J8" s="549"/>
      <c r="K8" s="601"/>
      <c r="L8" s="601"/>
      <c r="M8" s="2">
        <v>13</v>
      </c>
      <c r="N8" s="300">
        <f>50*21+47</f>
        <v>1097</v>
      </c>
      <c r="P8" s="624"/>
      <c r="Q8" s="306" t="s">
        <v>322</v>
      </c>
      <c r="R8" s="306">
        <v>450</v>
      </c>
      <c r="S8" s="195">
        <v>1.1100000000000001</v>
      </c>
      <c r="T8" s="305">
        <v>300</v>
      </c>
      <c r="U8" s="107">
        <f t="shared" si="2"/>
        <v>149850.00000000003</v>
      </c>
      <c r="V8" s="624"/>
      <c r="W8" s="590"/>
      <c r="X8" s="590"/>
      <c r="Y8" s="590"/>
      <c r="Z8" s="582"/>
      <c r="AA8" s="582"/>
      <c r="AB8" s="2">
        <v>22</v>
      </c>
      <c r="AC8" s="2">
        <v>9</v>
      </c>
    </row>
    <row r="9" spans="1:29">
      <c r="A9" s="666"/>
      <c r="B9" s="300" t="s">
        <v>307</v>
      </c>
      <c r="C9" s="300">
        <f t="shared" si="0"/>
        <v>595</v>
      </c>
      <c r="D9" s="195">
        <v>1.1100000000000001</v>
      </c>
      <c r="E9" s="299">
        <v>300</v>
      </c>
      <c r="F9" s="107">
        <f t="shared" si="1"/>
        <v>198135</v>
      </c>
      <c r="G9" s="669"/>
      <c r="H9" s="541"/>
      <c r="I9" s="541"/>
      <c r="J9" s="541"/>
      <c r="K9" s="599"/>
      <c r="L9" s="599"/>
      <c r="M9" s="2">
        <v>12</v>
      </c>
      <c r="N9" s="300">
        <f>50*19+45</f>
        <v>995</v>
      </c>
      <c r="P9" s="624"/>
      <c r="Q9" s="306" t="s">
        <v>307</v>
      </c>
      <c r="R9" s="306">
        <v>400</v>
      </c>
      <c r="S9" s="195">
        <v>1.1100000000000001</v>
      </c>
      <c r="T9" s="305">
        <v>300</v>
      </c>
      <c r="U9" s="107">
        <f t="shared" si="2"/>
        <v>133200.00000000003</v>
      </c>
      <c r="V9" s="624"/>
      <c r="W9" s="590"/>
      <c r="X9" s="590"/>
      <c r="Y9" s="590"/>
      <c r="Z9" s="582"/>
      <c r="AA9" s="582"/>
      <c r="AB9" s="2">
        <v>20</v>
      </c>
      <c r="AC9" s="2">
        <v>8</v>
      </c>
    </row>
    <row r="10" spans="1:29">
      <c r="A10" s="298" t="s">
        <v>4</v>
      </c>
      <c r="B10" s="298"/>
      <c r="C10" s="298">
        <f>SUM(C3:C9)</f>
        <v>6685</v>
      </c>
      <c r="D10" s="298"/>
      <c r="E10" s="298"/>
      <c r="F10" s="215">
        <f>SUM(F3:F9)</f>
        <v>2226105</v>
      </c>
      <c r="G10" s="298">
        <f>SUM(G3:G9)</f>
        <v>5156</v>
      </c>
      <c r="H10" s="215">
        <f>SUM(H3:H9)</f>
        <v>11135</v>
      </c>
      <c r="I10" s="298"/>
      <c r="J10" s="298">
        <f>SUM(J3:J9)</f>
        <v>2228725.5680287383</v>
      </c>
      <c r="K10" s="215">
        <f>SUM(K3:K9)</f>
        <v>4454830.5680287387</v>
      </c>
      <c r="L10" s="298"/>
      <c r="M10" s="2">
        <f>SUM(M3:M9)</f>
        <v>133</v>
      </c>
      <c r="N10" s="301">
        <f>SUM(N3:N9)</f>
        <v>11135</v>
      </c>
      <c r="P10" s="304" t="s">
        <v>4</v>
      </c>
      <c r="Q10" s="304"/>
      <c r="R10" s="304">
        <f>SUM(R3:R9)</f>
        <v>4450</v>
      </c>
      <c r="S10" s="304"/>
      <c r="T10" s="304"/>
      <c r="U10" s="215">
        <f>SUM(U3:U9)</f>
        <v>1481850</v>
      </c>
      <c r="V10" s="304">
        <f>SUM(V3:V9)</f>
        <v>5156</v>
      </c>
      <c r="W10" s="215">
        <f>SUM(W3:W9)</f>
        <v>11135</v>
      </c>
      <c r="X10" s="304"/>
      <c r="Y10" s="304">
        <f>SUM(Y3:Y9)</f>
        <v>1483594.431971262</v>
      </c>
      <c r="Z10" s="215">
        <f>SUM(Z3:Z9)</f>
        <v>2965444.4319712622</v>
      </c>
      <c r="AA10" s="304"/>
      <c r="AB10" s="2">
        <f>SUM(AB3:AB9)</f>
        <v>222</v>
      </c>
      <c r="AC10" s="2">
        <f>SUM(AC3:AC9)</f>
        <v>89</v>
      </c>
    </row>
    <row r="11" spans="1:29">
      <c r="F11" s="662" t="s">
        <v>233</v>
      </c>
      <c r="G11" s="663"/>
      <c r="H11" s="7">
        <f>K10+K11</f>
        <v>4499378.8737090258</v>
      </c>
      <c r="I11" s="655" t="s">
        <v>232</v>
      </c>
      <c r="J11" s="655"/>
      <c r="K11" s="1">
        <f>K10*1%</f>
        <v>44548.305680287391</v>
      </c>
      <c r="P11" s="2"/>
      <c r="Q11" s="2"/>
      <c r="R11" s="2"/>
      <c r="S11" s="2"/>
      <c r="T11" s="2"/>
      <c r="U11" s="558" t="s">
        <v>233</v>
      </c>
      <c r="V11" s="558"/>
      <c r="W11" s="27">
        <f>Z10+Z11</f>
        <v>2995098.8762909747</v>
      </c>
      <c r="X11" s="558" t="s">
        <v>232</v>
      </c>
      <c r="Y11" s="558"/>
      <c r="Z11" s="2">
        <f>Z10*1%</f>
        <v>29654.444319712624</v>
      </c>
      <c r="AA11" s="2"/>
      <c r="AB11" s="2"/>
      <c r="AC11" s="2"/>
    </row>
    <row r="17" spans="13:17">
      <c r="M17" s="627" t="s">
        <v>286</v>
      </c>
      <c r="N17" s="627"/>
      <c r="O17" s="627"/>
      <c r="P17" s="627"/>
      <c r="Q17" s="627"/>
    </row>
    <row r="18" spans="13:17">
      <c r="M18" s="627"/>
      <c r="N18" s="627"/>
      <c r="O18" s="627"/>
      <c r="P18" s="627"/>
      <c r="Q18" s="627"/>
    </row>
    <row r="19" spans="13:17" ht="21">
      <c r="M19" s="100" t="s">
        <v>0</v>
      </c>
      <c r="N19" s="100" t="s">
        <v>140</v>
      </c>
      <c r="O19" s="124" t="s">
        <v>323</v>
      </c>
      <c r="P19" s="124" t="s">
        <v>324</v>
      </c>
      <c r="Q19" s="124" t="s">
        <v>250</v>
      </c>
    </row>
    <row r="20" spans="13:17">
      <c r="M20" s="628" t="s">
        <v>294</v>
      </c>
      <c r="N20" s="303" t="s">
        <v>101</v>
      </c>
      <c r="O20" s="2">
        <v>53</v>
      </c>
      <c r="P20" s="2">
        <f>O20-Q20</f>
        <v>32</v>
      </c>
      <c r="Q20" s="2">
        <v>21</v>
      </c>
    </row>
    <row r="21" spans="13:17">
      <c r="M21" s="628"/>
      <c r="N21" s="303" t="s">
        <v>282</v>
      </c>
      <c r="O21" s="2">
        <v>41</v>
      </c>
      <c r="P21" s="2">
        <f t="shared" ref="P21:P27" si="3">O21-Q21</f>
        <v>25</v>
      </c>
      <c r="Q21" s="2">
        <v>16</v>
      </c>
    </row>
    <row r="22" spans="13:17">
      <c r="M22" s="628"/>
      <c r="N22" s="303" t="s">
        <v>95</v>
      </c>
      <c r="O22" s="2">
        <v>42</v>
      </c>
      <c r="P22" s="2">
        <f t="shared" si="3"/>
        <v>25</v>
      </c>
      <c r="Q22" s="2">
        <v>17</v>
      </c>
    </row>
    <row r="23" spans="13:17">
      <c r="M23" s="628"/>
      <c r="N23" s="303" t="s">
        <v>150</v>
      </c>
      <c r="O23" s="2">
        <v>31</v>
      </c>
      <c r="P23" s="2">
        <f t="shared" si="3"/>
        <v>18</v>
      </c>
      <c r="Q23" s="2">
        <v>13</v>
      </c>
    </row>
    <row r="24" spans="13:17">
      <c r="M24" s="628"/>
      <c r="N24" s="303" t="s">
        <v>114</v>
      </c>
      <c r="O24" s="2">
        <v>13</v>
      </c>
      <c r="P24" s="2">
        <f t="shared" si="3"/>
        <v>8</v>
      </c>
      <c r="Q24" s="2">
        <v>5</v>
      </c>
    </row>
    <row r="25" spans="13:17">
      <c r="M25" s="628"/>
      <c r="N25" s="303" t="s">
        <v>322</v>
      </c>
      <c r="O25" s="2">
        <v>22</v>
      </c>
      <c r="P25" s="2">
        <f t="shared" si="3"/>
        <v>13</v>
      </c>
      <c r="Q25" s="2">
        <v>9</v>
      </c>
    </row>
    <row r="26" spans="13:17">
      <c r="M26" s="628"/>
      <c r="N26" s="303" t="s">
        <v>307</v>
      </c>
      <c r="O26" s="2">
        <v>20</v>
      </c>
      <c r="P26" s="2">
        <f t="shared" si="3"/>
        <v>12</v>
      </c>
      <c r="Q26" s="2">
        <v>8</v>
      </c>
    </row>
    <row r="27" spans="13:17">
      <c r="M27" s="302" t="s">
        <v>4</v>
      </c>
      <c r="N27" s="302"/>
      <c r="O27" s="2">
        <f>SUM(O20:O26)</f>
        <v>222</v>
      </c>
      <c r="P27" s="2">
        <f t="shared" si="3"/>
        <v>133</v>
      </c>
      <c r="Q27" s="2">
        <f>SUM(Q20:Q26)</f>
        <v>89</v>
      </c>
    </row>
  </sheetData>
  <mergeCells count="23">
    <mergeCell ref="AB1:AC1"/>
    <mergeCell ref="U11:V11"/>
    <mergeCell ref="X11:Y11"/>
    <mergeCell ref="M20:M26"/>
    <mergeCell ref="P1:AA1"/>
    <mergeCell ref="P3:P9"/>
    <mergeCell ref="V3:V9"/>
    <mergeCell ref="W3:W9"/>
    <mergeCell ref="X3:X9"/>
    <mergeCell ref="Y3:Y9"/>
    <mergeCell ref="Z3:Z9"/>
    <mergeCell ref="AA3:AA9"/>
    <mergeCell ref="M17:Q18"/>
    <mergeCell ref="K3:K9"/>
    <mergeCell ref="L3:L9"/>
    <mergeCell ref="F11:G11"/>
    <mergeCell ref="A1:L1"/>
    <mergeCell ref="I11:J11"/>
    <mergeCell ref="A3:A9"/>
    <mergeCell ref="G3:G9"/>
    <mergeCell ref="H3:H9"/>
    <mergeCell ref="I3:I9"/>
    <mergeCell ref="J3:J9"/>
  </mergeCells>
  <pageMargins left="0.25" right="0.15" top="0.84" bottom="0.75" header="0.3" footer="0.3"/>
  <pageSetup paperSize="9" scale="13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workbookViewId="0">
      <selection sqref="A1:N1"/>
    </sheetView>
  </sheetViews>
  <sheetFormatPr defaultRowHeight="15"/>
  <cols>
    <col min="5" max="5" width="13.42578125" customWidth="1"/>
    <col min="6" max="6" width="11.42578125" customWidth="1"/>
    <col min="7" max="7" width="12.140625" customWidth="1"/>
    <col min="8" max="8" width="12.85546875" customWidth="1"/>
    <col min="9" max="9" width="9.85546875" customWidth="1"/>
  </cols>
  <sheetData>
    <row r="1" spans="1:33" ht="28.5">
      <c r="A1" s="671" t="s">
        <v>336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3"/>
      <c r="O1" s="294">
        <v>45189</v>
      </c>
      <c r="S1" s="605" t="s">
        <v>320</v>
      </c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294">
        <v>45189</v>
      </c>
    </row>
    <row r="2" spans="1:33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335</v>
      </c>
      <c r="N2" s="105" t="s">
        <v>125</v>
      </c>
      <c r="O2" s="105" t="s">
        <v>332</v>
      </c>
      <c r="P2" s="277" t="s">
        <v>334</v>
      </c>
      <c r="Q2" s="172" t="s">
        <v>333</v>
      </c>
      <c r="R2" s="172" t="s">
        <v>80</v>
      </c>
      <c r="S2" s="100" t="s">
        <v>0</v>
      </c>
      <c r="T2" s="100" t="s">
        <v>140</v>
      </c>
      <c r="U2" s="101" t="s">
        <v>123</v>
      </c>
      <c r="V2" s="101" t="s">
        <v>2</v>
      </c>
      <c r="W2" s="101" t="s">
        <v>3</v>
      </c>
      <c r="X2" s="102" t="s">
        <v>4</v>
      </c>
      <c r="Y2" s="103" t="s">
        <v>5</v>
      </c>
      <c r="Z2" s="103" t="s">
        <v>6</v>
      </c>
      <c r="AA2" s="103" t="s">
        <v>7</v>
      </c>
      <c r="AB2" s="101" t="s">
        <v>8</v>
      </c>
      <c r="AC2" s="104" t="s">
        <v>9</v>
      </c>
      <c r="AD2" s="103" t="s">
        <v>10</v>
      </c>
      <c r="AE2" s="105" t="s">
        <v>321</v>
      </c>
      <c r="AF2" s="105" t="s">
        <v>125</v>
      </c>
      <c r="AG2" s="105" t="s">
        <v>332</v>
      </c>
    </row>
    <row r="3" spans="1:33" ht="15" customHeight="1">
      <c r="A3" s="628" t="s">
        <v>294</v>
      </c>
      <c r="B3" s="310" t="s">
        <v>318</v>
      </c>
      <c r="C3" s="310">
        <v>507</v>
      </c>
      <c r="D3" s="231">
        <v>1.1100000000000001</v>
      </c>
      <c r="E3" s="308">
        <v>300</v>
      </c>
      <c r="F3" s="107">
        <f>C3*D3*E3</f>
        <v>168831.00000000003</v>
      </c>
      <c r="G3" s="590">
        <v>8917</v>
      </c>
      <c r="H3" s="624">
        <v>19374.5</v>
      </c>
      <c r="I3" s="590">
        <v>710</v>
      </c>
      <c r="J3" s="590">
        <f>G3/H3*SUM(C3:C22)*I3</f>
        <v>3196170.0002580713</v>
      </c>
      <c r="K3" s="582">
        <f>J3+SUM(F3:F22)</f>
        <v>6396304.5002580713</v>
      </c>
      <c r="L3" s="582">
        <f>K3/SUM(C3:C22)</f>
        <v>653.95199879951656</v>
      </c>
      <c r="M3" s="309">
        <v>10</v>
      </c>
      <c r="N3" s="316">
        <v>19</v>
      </c>
      <c r="O3" s="315">
        <v>50</v>
      </c>
      <c r="P3">
        <f>Q3-R3</f>
        <v>507</v>
      </c>
      <c r="Q3" s="318">
        <v>957</v>
      </c>
      <c r="R3">
        <f>U3</f>
        <v>450</v>
      </c>
      <c r="S3" s="628" t="s">
        <v>294</v>
      </c>
      <c r="T3" s="331" t="s">
        <v>318</v>
      </c>
      <c r="U3" s="331">
        <v>450</v>
      </c>
      <c r="V3" s="231">
        <v>1.1100000000000001</v>
      </c>
      <c r="W3" s="329">
        <v>300</v>
      </c>
      <c r="X3" s="107">
        <f>U3*V3*W3</f>
        <v>149850.00000000003</v>
      </c>
      <c r="Y3" s="590">
        <v>8800</v>
      </c>
      <c r="Z3" s="624">
        <v>19374.5</v>
      </c>
      <c r="AA3" s="590">
        <v>720</v>
      </c>
      <c r="AB3" s="590">
        <f>Y3/Z3*SUM(U3:U22)*AA3</f>
        <v>3137341.1442875946</v>
      </c>
      <c r="AC3" s="582">
        <f>AB3+SUM(X3:X22)</f>
        <v>6275785.1442875946</v>
      </c>
      <c r="AD3" s="582">
        <f>AC3/SUM(U3:U22)</f>
        <v>654.17054717127166</v>
      </c>
      <c r="AE3" s="330">
        <v>9</v>
      </c>
      <c r="AF3" s="316">
        <v>19</v>
      </c>
      <c r="AG3" s="333">
        <v>50</v>
      </c>
    </row>
    <row r="4" spans="1:33">
      <c r="A4" s="628"/>
      <c r="B4" s="310" t="s">
        <v>302</v>
      </c>
      <c r="C4" s="310">
        <v>553</v>
      </c>
      <c r="D4" s="231">
        <v>1.1100000000000001</v>
      </c>
      <c r="E4" s="308">
        <v>300</v>
      </c>
      <c r="F4" s="107">
        <f t="shared" ref="F4:F28" si="0">C4*D4*E4</f>
        <v>184149</v>
      </c>
      <c r="G4" s="590"/>
      <c r="H4" s="624"/>
      <c r="I4" s="590"/>
      <c r="J4" s="590"/>
      <c r="K4" s="582"/>
      <c r="L4" s="582"/>
      <c r="M4" s="317">
        <v>11</v>
      </c>
      <c r="N4" s="316">
        <v>21</v>
      </c>
      <c r="O4" s="315">
        <v>50</v>
      </c>
      <c r="P4">
        <f t="shared" ref="P4:P28" si="1">Q4-R4</f>
        <v>553</v>
      </c>
      <c r="Q4" s="318">
        <v>1053</v>
      </c>
      <c r="R4">
        <f t="shared" ref="R4:R28" si="2">U4</f>
        <v>500</v>
      </c>
      <c r="S4" s="628"/>
      <c r="T4" s="331" t="s">
        <v>302</v>
      </c>
      <c r="U4" s="331">
        <v>500</v>
      </c>
      <c r="V4" s="231">
        <v>1.1100000000000001</v>
      </c>
      <c r="W4" s="329">
        <v>300</v>
      </c>
      <c r="X4" s="107">
        <f t="shared" ref="X4:X28" si="3">U4*V4*W4</f>
        <v>166500</v>
      </c>
      <c r="Y4" s="590"/>
      <c r="Z4" s="624"/>
      <c r="AA4" s="590"/>
      <c r="AB4" s="590"/>
      <c r="AC4" s="582"/>
      <c r="AD4" s="582"/>
      <c r="AE4" s="330">
        <v>10</v>
      </c>
      <c r="AF4" s="316">
        <v>21</v>
      </c>
      <c r="AG4" s="333">
        <v>50</v>
      </c>
    </row>
    <row r="5" spans="1:33">
      <c r="A5" s="628"/>
      <c r="B5" s="310" t="s">
        <v>112</v>
      </c>
      <c r="C5" s="310">
        <v>468.5</v>
      </c>
      <c r="D5" s="231">
        <v>1.1100000000000001</v>
      </c>
      <c r="E5" s="308">
        <v>300</v>
      </c>
      <c r="F5" s="107">
        <f t="shared" si="0"/>
        <v>156010.50000000003</v>
      </c>
      <c r="G5" s="590"/>
      <c r="H5" s="624"/>
      <c r="I5" s="590"/>
      <c r="J5" s="590"/>
      <c r="K5" s="582"/>
      <c r="L5" s="582"/>
      <c r="M5" s="317">
        <v>9</v>
      </c>
      <c r="N5" s="316">
        <v>18</v>
      </c>
      <c r="O5" s="315">
        <v>50</v>
      </c>
      <c r="P5">
        <f t="shared" si="1"/>
        <v>468.5</v>
      </c>
      <c r="Q5" s="318">
        <v>918.5</v>
      </c>
      <c r="R5">
        <f t="shared" si="2"/>
        <v>450</v>
      </c>
      <c r="S5" s="628"/>
      <c r="T5" s="331" t="s">
        <v>112</v>
      </c>
      <c r="U5" s="331">
        <v>450</v>
      </c>
      <c r="V5" s="231">
        <v>1.1100000000000001</v>
      </c>
      <c r="W5" s="329">
        <v>300</v>
      </c>
      <c r="X5" s="107">
        <f t="shared" si="3"/>
        <v>149850.00000000003</v>
      </c>
      <c r="Y5" s="590"/>
      <c r="Z5" s="624"/>
      <c r="AA5" s="590"/>
      <c r="AB5" s="590"/>
      <c r="AC5" s="582"/>
      <c r="AD5" s="582"/>
      <c r="AE5" s="330">
        <v>9</v>
      </c>
      <c r="AF5" s="316">
        <v>18</v>
      </c>
      <c r="AG5" s="333">
        <v>50</v>
      </c>
    </row>
    <row r="6" spans="1:33">
      <c r="A6" s="628"/>
      <c r="B6" s="310" t="s">
        <v>299</v>
      </c>
      <c r="C6" s="310">
        <v>277</v>
      </c>
      <c r="D6" s="231">
        <v>1.1100000000000001</v>
      </c>
      <c r="E6" s="308">
        <v>300</v>
      </c>
      <c r="F6" s="107">
        <f t="shared" si="0"/>
        <v>92241.000000000015</v>
      </c>
      <c r="G6" s="590"/>
      <c r="H6" s="624"/>
      <c r="I6" s="590"/>
      <c r="J6" s="590"/>
      <c r="K6" s="582"/>
      <c r="L6" s="582"/>
      <c r="M6" s="317">
        <v>6</v>
      </c>
      <c r="N6" s="316">
        <v>12</v>
      </c>
      <c r="O6" s="315">
        <v>50</v>
      </c>
      <c r="P6">
        <f t="shared" si="1"/>
        <v>277</v>
      </c>
      <c r="Q6" s="318">
        <v>577</v>
      </c>
      <c r="R6">
        <f t="shared" si="2"/>
        <v>300</v>
      </c>
      <c r="S6" s="628"/>
      <c r="T6" s="331" t="s">
        <v>299</v>
      </c>
      <c r="U6" s="331">
        <v>300</v>
      </c>
      <c r="V6" s="231">
        <v>1.1100000000000001</v>
      </c>
      <c r="W6" s="329">
        <v>300</v>
      </c>
      <c r="X6" s="107">
        <f t="shared" si="3"/>
        <v>99900.000000000015</v>
      </c>
      <c r="Y6" s="590"/>
      <c r="Z6" s="624"/>
      <c r="AA6" s="590"/>
      <c r="AB6" s="590"/>
      <c r="AC6" s="582"/>
      <c r="AD6" s="582"/>
      <c r="AE6" s="330">
        <v>6</v>
      </c>
      <c r="AF6" s="316">
        <v>12</v>
      </c>
      <c r="AG6" s="333">
        <v>50</v>
      </c>
    </row>
    <row r="7" spans="1:33">
      <c r="A7" s="628"/>
      <c r="B7" s="310" t="s">
        <v>151</v>
      </c>
      <c r="C7" s="310">
        <v>442</v>
      </c>
      <c r="D7" s="231">
        <v>1.1100000000000001</v>
      </c>
      <c r="E7" s="308">
        <v>300</v>
      </c>
      <c r="F7" s="107">
        <f t="shared" si="0"/>
        <v>147186.00000000003</v>
      </c>
      <c r="G7" s="590"/>
      <c r="H7" s="624"/>
      <c r="I7" s="590"/>
      <c r="J7" s="590"/>
      <c r="K7" s="582"/>
      <c r="L7" s="582"/>
      <c r="M7" s="317">
        <v>9</v>
      </c>
      <c r="N7" s="316">
        <v>18</v>
      </c>
      <c r="O7" s="315">
        <v>50</v>
      </c>
      <c r="P7">
        <f t="shared" si="1"/>
        <v>442</v>
      </c>
      <c r="Q7" s="318">
        <v>892</v>
      </c>
      <c r="R7">
        <f t="shared" si="2"/>
        <v>450</v>
      </c>
      <c r="S7" s="628"/>
      <c r="T7" s="331" t="s">
        <v>151</v>
      </c>
      <c r="U7" s="331">
        <v>450</v>
      </c>
      <c r="V7" s="231">
        <v>1.1100000000000001</v>
      </c>
      <c r="W7" s="329">
        <v>300</v>
      </c>
      <c r="X7" s="107">
        <f t="shared" si="3"/>
        <v>149850.00000000003</v>
      </c>
      <c r="Y7" s="590"/>
      <c r="Z7" s="624"/>
      <c r="AA7" s="590"/>
      <c r="AB7" s="590"/>
      <c r="AC7" s="582"/>
      <c r="AD7" s="582"/>
      <c r="AE7" s="330">
        <v>9</v>
      </c>
      <c r="AF7" s="316">
        <v>18</v>
      </c>
      <c r="AG7" s="333">
        <v>50</v>
      </c>
    </row>
    <row r="8" spans="1:33">
      <c r="A8" s="628"/>
      <c r="B8" s="310" t="s">
        <v>327</v>
      </c>
      <c r="C8" s="310">
        <v>490</v>
      </c>
      <c r="D8" s="231">
        <v>1.1100000000000001</v>
      </c>
      <c r="E8" s="308">
        <v>300</v>
      </c>
      <c r="F8" s="107">
        <f t="shared" si="0"/>
        <v>163170.00000000003</v>
      </c>
      <c r="G8" s="590"/>
      <c r="H8" s="624"/>
      <c r="I8" s="590"/>
      <c r="J8" s="590"/>
      <c r="K8" s="582"/>
      <c r="L8" s="582"/>
      <c r="M8" s="317">
        <v>10</v>
      </c>
      <c r="N8" s="316">
        <v>19</v>
      </c>
      <c r="O8" s="315">
        <v>50</v>
      </c>
      <c r="P8">
        <f t="shared" si="1"/>
        <v>490</v>
      </c>
      <c r="Q8" s="318">
        <v>940</v>
      </c>
      <c r="R8">
        <f t="shared" si="2"/>
        <v>450</v>
      </c>
      <c r="S8" s="628"/>
      <c r="T8" s="331" t="s">
        <v>327</v>
      </c>
      <c r="U8" s="331">
        <v>450</v>
      </c>
      <c r="V8" s="231">
        <v>1.1100000000000001</v>
      </c>
      <c r="W8" s="329">
        <v>300</v>
      </c>
      <c r="X8" s="107">
        <f t="shared" si="3"/>
        <v>149850.00000000003</v>
      </c>
      <c r="Y8" s="590"/>
      <c r="Z8" s="624"/>
      <c r="AA8" s="590"/>
      <c r="AB8" s="590"/>
      <c r="AC8" s="582"/>
      <c r="AD8" s="582"/>
      <c r="AE8" s="330">
        <v>9</v>
      </c>
      <c r="AF8" s="316">
        <v>19</v>
      </c>
      <c r="AG8" s="333">
        <v>50</v>
      </c>
    </row>
    <row r="9" spans="1:33">
      <c r="A9" s="628"/>
      <c r="B9" s="310" t="s">
        <v>328</v>
      </c>
      <c r="C9" s="310">
        <v>429</v>
      </c>
      <c r="D9" s="231">
        <v>1.1100000000000001</v>
      </c>
      <c r="E9" s="308">
        <v>300</v>
      </c>
      <c r="F9" s="107">
        <f t="shared" si="0"/>
        <v>142857.00000000003</v>
      </c>
      <c r="G9" s="590"/>
      <c r="H9" s="624"/>
      <c r="I9" s="590"/>
      <c r="J9" s="590"/>
      <c r="K9" s="582"/>
      <c r="L9" s="582"/>
      <c r="M9" s="317">
        <v>9</v>
      </c>
      <c r="N9" s="316">
        <v>18</v>
      </c>
      <c r="O9" s="315">
        <v>50</v>
      </c>
      <c r="P9">
        <f t="shared" si="1"/>
        <v>429</v>
      </c>
      <c r="Q9" s="318">
        <v>879</v>
      </c>
      <c r="R9">
        <f t="shared" si="2"/>
        <v>450</v>
      </c>
      <c r="S9" s="628"/>
      <c r="T9" s="331" t="s">
        <v>328</v>
      </c>
      <c r="U9" s="331">
        <v>450</v>
      </c>
      <c r="V9" s="231">
        <v>1.1100000000000001</v>
      </c>
      <c r="W9" s="329">
        <v>300</v>
      </c>
      <c r="X9" s="107">
        <f t="shared" si="3"/>
        <v>149850.00000000003</v>
      </c>
      <c r="Y9" s="590"/>
      <c r="Z9" s="624"/>
      <c r="AA9" s="590"/>
      <c r="AB9" s="590"/>
      <c r="AC9" s="582"/>
      <c r="AD9" s="582"/>
      <c r="AE9" s="330">
        <v>9</v>
      </c>
      <c r="AF9" s="316">
        <v>18</v>
      </c>
      <c r="AG9" s="333">
        <v>50</v>
      </c>
    </row>
    <row r="10" spans="1:33">
      <c r="A10" s="628"/>
      <c r="B10" s="310" t="s">
        <v>244</v>
      </c>
      <c r="C10" s="310">
        <v>288</v>
      </c>
      <c r="D10" s="231">
        <v>1.1100000000000001</v>
      </c>
      <c r="E10" s="308">
        <v>300</v>
      </c>
      <c r="F10" s="107">
        <f t="shared" si="0"/>
        <v>95904</v>
      </c>
      <c r="G10" s="590"/>
      <c r="H10" s="624"/>
      <c r="I10" s="590"/>
      <c r="J10" s="590"/>
      <c r="K10" s="582"/>
      <c r="L10" s="582"/>
      <c r="M10" s="317">
        <v>6</v>
      </c>
      <c r="N10" s="316">
        <v>12</v>
      </c>
      <c r="O10" s="315">
        <v>50</v>
      </c>
      <c r="P10">
        <f t="shared" si="1"/>
        <v>288</v>
      </c>
      <c r="Q10" s="318">
        <v>588</v>
      </c>
      <c r="R10">
        <f t="shared" si="2"/>
        <v>300</v>
      </c>
      <c r="S10" s="628"/>
      <c r="T10" s="331" t="s">
        <v>244</v>
      </c>
      <c r="U10" s="331">
        <v>300</v>
      </c>
      <c r="V10" s="231">
        <v>1.1100000000000001</v>
      </c>
      <c r="W10" s="329">
        <v>300</v>
      </c>
      <c r="X10" s="107">
        <f t="shared" si="3"/>
        <v>99900.000000000015</v>
      </c>
      <c r="Y10" s="590"/>
      <c r="Z10" s="624"/>
      <c r="AA10" s="590"/>
      <c r="AB10" s="590"/>
      <c r="AC10" s="582"/>
      <c r="AD10" s="582"/>
      <c r="AE10" s="330">
        <v>6</v>
      </c>
      <c r="AF10" s="316">
        <v>12</v>
      </c>
      <c r="AG10" s="333">
        <v>50</v>
      </c>
    </row>
    <row r="11" spans="1:33">
      <c r="A11" s="628" t="s">
        <v>294</v>
      </c>
      <c r="B11" s="310" t="s">
        <v>282</v>
      </c>
      <c r="C11" s="310">
        <v>1032.5</v>
      </c>
      <c r="D11" s="231">
        <v>1.08</v>
      </c>
      <c r="E11" s="308">
        <v>300</v>
      </c>
      <c r="F11" s="107">
        <f t="shared" si="0"/>
        <v>334530.00000000006</v>
      </c>
      <c r="G11" s="590"/>
      <c r="H11" s="624"/>
      <c r="I11" s="590"/>
      <c r="J11" s="590"/>
      <c r="K11" s="582"/>
      <c r="L11" s="582"/>
      <c r="M11" s="317">
        <v>34</v>
      </c>
      <c r="N11" s="316">
        <v>68</v>
      </c>
      <c r="O11" s="315">
        <v>30</v>
      </c>
      <c r="P11">
        <f t="shared" si="1"/>
        <v>1032.5</v>
      </c>
      <c r="Q11" s="318">
        <v>2053</v>
      </c>
      <c r="R11">
        <f t="shared" si="2"/>
        <v>1020.5</v>
      </c>
      <c r="S11" s="628" t="s">
        <v>294</v>
      </c>
      <c r="T11" s="331" t="s">
        <v>282</v>
      </c>
      <c r="U11" s="331">
        <v>1020.5</v>
      </c>
      <c r="V11" s="231">
        <v>1.08</v>
      </c>
      <c r="W11" s="329">
        <v>300</v>
      </c>
      <c r="X11" s="107">
        <f t="shared" si="3"/>
        <v>330642.00000000006</v>
      </c>
      <c r="Y11" s="590"/>
      <c r="Z11" s="624"/>
      <c r="AA11" s="590"/>
      <c r="AB11" s="590"/>
      <c r="AC11" s="582"/>
      <c r="AD11" s="582"/>
      <c r="AE11" s="330">
        <v>34</v>
      </c>
      <c r="AF11" s="316">
        <v>68</v>
      </c>
      <c r="AG11" s="333">
        <v>30</v>
      </c>
    </row>
    <row r="12" spans="1:33">
      <c r="A12" s="628"/>
      <c r="B12" s="310" t="s">
        <v>95</v>
      </c>
      <c r="C12" s="310">
        <v>810.5</v>
      </c>
      <c r="D12" s="231">
        <v>1.08</v>
      </c>
      <c r="E12" s="308">
        <v>300</v>
      </c>
      <c r="F12" s="107">
        <f t="shared" si="0"/>
        <v>262602</v>
      </c>
      <c r="G12" s="590"/>
      <c r="H12" s="624"/>
      <c r="I12" s="590"/>
      <c r="J12" s="590"/>
      <c r="K12" s="582"/>
      <c r="L12" s="582"/>
      <c r="M12" s="317">
        <v>27</v>
      </c>
      <c r="N12" s="316">
        <v>54</v>
      </c>
      <c r="O12" s="315">
        <v>30</v>
      </c>
      <c r="P12">
        <f t="shared" si="1"/>
        <v>810.5</v>
      </c>
      <c r="Q12" s="318">
        <v>1622.5</v>
      </c>
      <c r="R12">
        <f t="shared" si="2"/>
        <v>812</v>
      </c>
      <c r="S12" s="628"/>
      <c r="T12" s="331" t="s">
        <v>95</v>
      </c>
      <c r="U12" s="331">
        <v>812</v>
      </c>
      <c r="V12" s="231">
        <v>1.08</v>
      </c>
      <c r="W12" s="329">
        <v>300</v>
      </c>
      <c r="X12" s="107">
        <f t="shared" si="3"/>
        <v>263088</v>
      </c>
      <c r="Y12" s="590"/>
      <c r="Z12" s="624"/>
      <c r="AA12" s="590"/>
      <c r="AB12" s="590"/>
      <c r="AC12" s="582"/>
      <c r="AD12" s="582"/>
      <c r="AE12" s="330">
        <v>27</v>
      </c>
      <c r="AF12" s="316">
        <v>54</v>
      </c>
      <c r="AG12" s="333">
        <v>30</v>
      </c>
    </row>
    <row r="13" spans="1:33">
      <c r="A13" s="628"/>
      <c r="B13" s="310" t="s">
        <v>150</v>
      </c>
      <c r="C13" s="310">
        <v>737.5</v>
      </c>
      <c r="D13" s="231">
        <v>1.08</v>
      </c>
      <c r="E13" s="308">
        <v>300</v>
      </c>
      <c r="F13" s="107">
        <f t="shared" si="0"/>
        <v>238950</v>
      </c>
      <c r="G13" s="590"/>
      <c r="H13" s="624"/>
      <c r="I13" s="590"/>
      <c r="J13" s="590"/>
      <c r="K13" s="582"/>
      <c r="L13" s="582"/>
      <c r="M13" s="317">
        <v>24</v>
      </c>
      <c r="N13" s="316">
        <v>48</v>
      </c>
      <c r="O13" s="315">
        <v>30</v>
      </c>
      <c r="P13">
        <f t="shared" si="1"/>
        <v>737.5</v>
      </c>
      <c r="Q13" s="318">
        <v>1457.5</v>
      </c>
      <c r="R13">
        <f t="shared" si="2"/>
        <v>720</v>
      </c>
      <c r="S13" s="628"/>
      <c r="T13" s="331" t="s">
        <v>150</v>
      </c>
      <c r="U13" s="331">
        <v>720</v>
      </c>
      <c r="V13" s="231">
        <v>1.08</v>
      </c>
      <c r="W13" s="329">
        <v>300</v>
      </c>
      <c r="X13" s="107">
        <f t="shared" si="3"/>
        <v>233280</v>
      </c>
      <c r="Y13" s="590"/>
      <c r="Z13" s="624"/>
      <c r="AA13" s="590"/>
      <c r="AB13" s="590"/>
      <c r="AC13" s="582"/>
      <c r="AD13" s="582"/>
      <c r="AE13" s="330">
        <v>24</v>
      </c>
      <c r="AF13" s="316">
        <v>48</v>
      </c>
      <c r="AG13" s="333">
        <v>30</v>
      </c>
    </row>
    <row r="14" spans="1:33">
      <c r="A14" s="628"/>
      <c r="B14" s="310" t="s">
        <v>114</v>
      </c>
      <c r="C14" s="310">
        <v>489</v>
      </c>
      <c r="D14" s="231">
        <v>1.08</v>
      </c>
      <c r="E14" s="308">
        <v>300</v>
      </c>
      <c r="F14" s="107">
        <f t="shared" si="0"/>
        <v>158436</v>
      </c>
      <c r="G14" s="590"/>
      <c r="H14" s="624"/>
      <c r="I14" s="590"/>
      <c r="J14" s="590"/>
      <c r="K14" s="582"/>
      <c r="L14" s="582"/>
      <c r="M14" s="317">
        <v>16</v>
      </c>
      <c r="N14" s="316">
        <v>33</v>
      </c>
      <c r="O14" s="315">
        <v>30</v>
      </c>
      <c r="P14">
        <f t="shared" si="1"/>
        <v>489</v>
      </c>
      <c r="Q14" s="318">
        <v>999</v>
      </c>
      <c r="R14">
        <f t="shared" si="2"/>
        <v>510</v>
      </c>
      <c r="S14" s="628"/>
      <c r="T14" s="331" t="s">
        <v>114</v>
      </c>
      <c r="U14" s="331">
        <v>510</v>
      </c>
      <c r="V14" s="231">
        <v>1.08</v>
      </c>
      <c r="W14" s="329">
        <v>300</v>
      </c>
      <c r="X14" s="107">
        <f t="shared" si="3"/>
        <v>165240.00000000003</v>
      </c>
      <c r="Y14" s="590"/>
      <c r="Z14" s="624"/>
      <c r="AA14" s="590"/>
      <c r="AB14" s="590"/>
      <c r="AC14" s="582"/>
      <c r="AD14" s="582"/>
      <c r="AE14" s="330">
        <v>17</v>
      </c>
      <c r="AF14" s="316">
        <v>33</v>
      </c>
      <c r="AG14" s="333">
        <v>30</v>
      </c>
    </row>
    <row r="15" spans="1:33">
      <c r="A15" s="628"/>
      <c r="B15" s="310" t="s">
        <v>307</v>
      </c>
      <c r="C15" s="310">
        <v>448</v>
      </c>
      <c r="D15" s="231">
        <v>1.08</v>
      </c>
      <c r="E15" s="308">
        <v>300</v>
      </c>
      <c r="F15" s="107">
        <f t="shared" si="0"/>
        <v>145152</v>
      </c>
      <c r="G15" s="590"/>
      <c r="H15" s="624"/>
      <c r="I15" s="590"/>
      <c r="J15" s="590"/>
      <c r="K15" s="582"/>
      <c r="L15" s="582"/>
      <c r="M15" s="317">
        <v>15</v>
      </c>
      <c r="N15" s="316">
        <v>30</v>
      </c>
      <c r="O15" s="315">
        <v>30</v>
      </c>
      <c r="P15">
        <f t="shared" si="1"/>
        <v>448</v>
      </c>
      <c r="Q15" s="318">
        <v>897</v>
      </c>
      <c r="R15">
        <f t="shared" si="2"/>
        <v>449</v>
      </c>
      <c r="S15" s="628"/>
      <c r="T15" s="331" t="s">
        <v>307</v>
      </c>
      <c r="U15" s="331">
        <v>449</v>
      </c>
      <c r="V15" s="231">
        <v>1.08</v>
      </c>
      <c r="W15" s="329">
        <v>300</v>
      </c>
      <c r="X15" s="107">
        <f t="shared" si="3"/>
        <v>145476</v>
      </c>
      <c r="Y15" s="590"/>
      <c r="Z15" s="624"/>
      <c r="AA15" s="590"/>
      <c r="AB15" s="590"/>
      <c r="AC15" s="582"/>
      <c r="AD15" s="582"/>
      <c r="AE15" s="330">
        <v>15</v>
      </c>
      <c r="AF15" s="316">
        <v>30</v>
      </c>
      <c r="AG15" s="333">
        <v>30</v>
      </c>
    </row>
    <row r="16" spans="1:33">
      <c r="A16" s="628"/>
      <c r="B16" s="310" t="s">
        <v>281</v>
      </c>
      <c r="C16" s="310">
        <v>460</v>
      </c>
      <c r="D16" s="231">
        <v>1.08</v>
      </c>
      <c r="E16" s="308">
        <v>300</v>
      </c>
      <c r="F16" s="107">
        <f t="shared" si="0"/>
        <v>149040</v>
      </c>
      <c r="G16" s="590"/>
      <c r="H16" s="624"/>
      <c r="I16" s="590"/>
      <c r="J16" s="590"/>
      <c r="K16" s="582"/>
      <c r="L16" s="582"/>
      <c r="M16" s="317">
        <v>15</v>
      </c>
      <c r="N16" s="316">
        <v>30</v>
      </c>
      <c r="O16" s="315">
        <v>30</v>
      </c>
      <c r="P16">
        <f t="shared" si="1"/>
        <v>460</v>
      </c>
      <c r="Q16" s="318">
        <v>912</v>
      </c>
      <c r="R16">
        <f t="shared" si="2"/>
        <v>452</v>
      </c>
      <c r="S16" s="628"/>
      <c r="T16" s="331" t="s">
        <v>281</v>
      </c>
      <c r="U16" s="331">
        <v>452</v>
      </c>
      <c r="V16" s="231">
        <v>1.08</v>
      </c>
      <c r="W16" s="329">
        <v>300</v>
      </c>
      <c r="X16" s="107">
        <f t="shared" si="3"/>
        <v>146448</v>
      </c>
      <c r="Y16" s="590"/>
      <c r="Z16" s="624"/>
      <c r="AA16" s="590"/>
      <c r="AB16" s="590"/>
      <c r="AC16" s="582"/>
      <c r="AD16" s="582"/>
      <c r="AE16" s="330">
        <v>15</v>
      </c>
      <c r="AF16" s="316">
        <v>30</v>
      </c>
      <c r="AG16" s="333">
        <v>30</v>
      </c>
    </row>
    <row r="17" spans="1:33">
      <c r="A17" s="628"/>
      <c r="B17" s="310" t="s">
        <v>322</v>
      </c>
      <c r="C17" s="310">
        <v>451</v>
      </c>
      <c r="D17" s="231">
        <v>1.08</v>
      </c>
      <c r="E17" s="308">
        <v>300</v>
      </c>
      <c r="F17" s="107">
        <f t="shared" si="0"/>
        <v>146124</v>
      </c>
      <c r="G17" s="590"/>
      <c r="H17" s="624"/>
      <c r="I17" s="590"/>
      <c r="J17" s="590"/>
      <c r="K17" s="582"/>
      <c r="L17" s="582"/>
      <c r="M17" s="317">
        <v>15</v>
      </c>
      <c r="N17" s="316">
        <v>30</v>
      </c>
      <c r="O17" s="315">
        <v>30</v>
      </c>
      <c r="P17">
        <f t="shared" si="1"/>
        <v>451</v>
      </c>
      <c r="Q17" s="318">
        <v>901</v>
      </c>
      <c r="R17">
        <f t="shared" si="2"/>
        <v>450</v>
      </c>
      <c r="S17" s="628"/>
      <c r="T17" s="331" t="s">
        <v>322</v>
      </c>
      <c r="U17" s="331">
        <v>450</v>
      </c>
      <c r="V17" s="231">
        <v>1.08</v>
      </c>
      <c r="W17" s="329">
        <v>300</v>
      </c>
      <c r="X17" s="107">
        <f t="shared" si="3"/>
        <v>145800.00000000003</v>
      </c>
      <c r="Y17" s="590"/>
      <c r="Z17" s="624"/>
      <c r="AA17" s="590"/>
      <c r="AB17" s="590"/>
      <c r="AC17" s="582"/>
      <c r="AD17" s="582"/>
      <c r="AE17" s="330">
        <v>15</v>
      </c>
      <c r="AF17" s="316">
        <v>30</v>
      </c>
      <c r="AG17" s="333">
        <v>30</v>
      </c>
    </row>
    <row r="18" spans="1:33">
      <c r="A18" s="628"/>
      <c r="B18" s="310" t="s">
        <v>329</v>
      </c>
      <c r="C18" s="310">
        <v>290</v>
      </c>
      <c r="D18" s="231">
        <v>1.08</v>
      </c>
      <c r="E18" s="308">
        <v>300</v>
      </c>
      <c r="F18" s="107">
        <f t="shared" si="0"/>
        <v>93960.000000000015</v>
      </c>
      <c r="G18" s="590"/>
      <c r="H18" s="624"/>
      <c r="I18" s="590"/>
      <c r="J18" s="590"/>
      <c r="K18" s="582"/>
      <c r="L18" s="582"/>
      <c r="M18" s="317">
        <v>9</v>
      </c>
      <c r="N18" s="316">
        <v>18</v>
      </c>
      <c r="O18" s="315">
        <v>30</v>
      </c>
      <c r="P18">
        <f t="shared" si="1"/>
        <v>290</v>
      </c>
      <c r="Q18" s="318">
        <v>560</v>
      </c>
      <c r="R18">
        <f t="shared" si="2"/>
        <v>270</v>
      </c>
      <c r="S18" s="628"/>
      <c r="T18" s="331" t="s">
        <v>329</v>
      </c>
      <c r="U18" s="331">
        <v>270</v>
      </c>
      <c r="V18" s="231">
        <v>1.08</v>
      </c>
      <c r="W18" s="329">
        <v>300</v>
      </c>
      <c r="X18" s="107">
        <f t="shared" si="3"/>
        <v>87480</v>
      </c>
      <c r="Y18" s="590"/>
      <c r="Z18" s="624"/>
      <c r="AA18" s="590"/>
      <c r="AB18" s="590"/>
      <c r="AC18" s="582"/>
      <c r="AD18" s="582"/>
      <c r="AE18" s="330">
        <v>9</v>
      </c>
      <c r="AF18" s="316">
        <v>18</v>
      </c>
      <c r="AG18" s="333">
        <v>30</v>
      </c>
    </row>
    <row r="19" spans="1:33">
      <c r="A19" s="628"/>
      <c r="B19" s="310" t="s">
        <v>151</v>
      </c>
      <c r="C19" s="310">
        <v>285</v>
      </c>
      <c r="D19" s="231">
        <v>1.08</v>
      </c>
      <c r="E19" s="308">
        <v>300</v>
      </c>
      <c r="F19" s="107">
        <f t="shared" si="0"/>
        <v>92340</v>
      </c>
      <c r="G19" s="590"/>
      <c r="H19" s="624"/>
      <c r="I19" s="590"/>
      <c r="J19" s="590"/>
      <c r="K19" s="582"/>
      <c r="L19" s="582"/>
      <c r="M19" s="317">
        <v>9</v>
      </c>
      <c r="N19" s="316">
        <v>18</v>
      </c>
      <c r="O19" s="315">
        <v>30</v>
      </c>
      <c r="P19">
        <f t="shared" si="1"/>
        <v>285</v>
      </c>
      <c r="Q19" s="318">
        <v>555</v>
      </c>
      <c r="R19">
        <f t="shared" si="2"/>
        <v>270</v>
      </c>
      <c r="S19" s="628"/>
      <c r="T19" s="331" t="s">
        <v>151</v>
      </c>
      <c r="U19" s="331">
        <v>270</v>
      </c>
      <c r="V19" s="231">
        <v>1.08</v>
      </c>
      <c r="W19" s="329">
        <v>300</v>
      </c>
      <c r="X19" s="107">
        <f t="shared" si="3"/>
        <v>87480</v>
      </c>
      <c r="Y19" s="590"/>
      <c r="Z19" s="624"/>
      <c r="AA19" s="590"/>
      <c r="AB19" s="590"/>
      <c r="AC19" s="582"/>
      <c r="AD19" s="582"/>
      <c r="AE19" s="330">
        <v>9</v>
      </c>
      <c r="AF19" s="316">
        <v>18</v>
      </c>
      <c r="AG19" s="333">
        <v>30</v>
      </c>
    </row>
    <row r="20" spans="1:33">
      <c r="A20" s="628"/>
      <c r="B20" s="310" t="s">
        <v>302</v>
      </c>
      <c r="C20" s="310">
        <v>336.5</v>
      </c>
      <c r="D20" s="231">
        <v>1.08</v>
      </c>
      <c r="E20" s="308">
        <v>300</v>
      </c>
      <c r="F20" s="107">
        <f t="shared" si="0"/>
        <v>109026</v>
      </c>
      <c r="G20" s="590"/>
      <c r="H20" s="624"/>
      <c r="I20" s="590"/>
      <c r="J20" s="590"/>
      <c r="K20" s="582"/>
      <c r="L20" s="582"/>
      <c r="M20" s="317">
        <v>11</v>
      </c>
      <c r="N20" s="316">
        <v>22</v>
      </c>
      <c r="O20" s="315">
        <v>30</v>
      </c>
      <c r="P20">
        <f t="shared" si="1"/>
        <v>336.5</v>
      </c>
      <c r="Q20" s="318">
        <v>666.5</v>
      </c>
      <c r="R20">
        <f t="shared" si="2"/>
        <v>330</v>
      </c>
      <c r="S20" s="628"/>
      <c r="T20" s="331" t="s">
        <v>302</v>
      </c>
      <c r="U20" s="331">
        <v>330</v>
      </c>
      <c r="V20" s="231">
        <v>1.08</v>
      </c>
      <c r="W20" s="329">
        <v>300</v>
      </c>
      <c r="X20" s="107">
        <f t="shared" si="3"/>
        <v>106920.00000000001</v>
      </c>
      <c r="Y20" s="590"/>
      <c r="Z20" s="624"/>
      <c r="AA20" s="590"/>
      <c r="AB20" s="590"/>
      <c r="AC20" s="582"/>
      <c r="AD20" s="582"/>
      <c r="AE20" s="330">
        <v>11</v>
      </c>
      <c r="AF20" s="316">
        <v>22</v>
      </c>
      <c r="AG20" s="333">
        <v>30</v>
      </c>
    </row>
    <row r="21" spans="1:33">
      <c r="A21" s="628"/>
      <c r="B21" s="310" t="s">
        <v>327</v>
      </c>
      <c r="C21" s="310">
        <v>444</v>
      </c>
      <c r="D21" s="231">
        <v>1.08</v>
      </c>
      <c r="E21" s="308">
        <v>300</v>
      </c>
      <c r="F21" s="107">
        <f t="shared" si="0"/>
        <v>143856</v>
      </c>
      <c r="G21" s="590"/>
      <c r="H21" s="624"/>
      <c r="I21" s="590"/>
      <c r="J21" s="590"/>
      <c r="K21" s="582"/>
      <c r="L21" s="582"/>
      <c r="M21" s="317">
        <v>15</v>
      </c>
      <c r="N21" s="316">
        <v>30</v>
      </c>
      <c r="O21" s="315">
        <v>30</v>
      </c>
      <c r="P21">
        <f t="shared" si="1"/>
        <v>444</v>
      </c>
      <c r="Q21" s="318">
        <v>894</v>
      </c>
      <c r="R21">
        <f t="shared" si="2"/>
        <v>450</v>
      </c>
      <c r="S21" s="628"/>
      <c r="T21" s="331" t="s">
        <v>327</v>
      </c>
      <c r="U21" s="331">
        <v>450</v>
      </c>
      <c r="V21" s="231">
        <v>1.08</v>
      </c>
      <c r="W21" s="329">
        <v>300</v>
      </c>
      <c r="X21" s="107">
        <f t="shared" si="3"/>
        <v>145800.00000000003</v>
      </c>
      <c r="Y21" s="590"/>
      <c r="Z21" s="624"/>
      <c r="AA21" s="590"/>
      <c r="AB21" s="590"/>
      <c r="AC21" s="582"/>
      <c r="AD21" s="582"/>
      <c r="AE21" s="330">
        <v>15</v>
      </c>
      <c r="AF21" s="316">
        <v>30</v>
      </c>
      <c r="AG21" s="333">
        <v>30</v>
      </c>
    </row>
    <row r="22" spans="1:33">
      <c r="A22" s="628"/>
      <c r="B22" s="310" t="s">
        <v>299</v>
      </c>
      <c r="C22" s="310">
        <v>542.5</v>
      </c>
      <c r="D22" s="231">
        <v>1.08</v>
      </c>
      <c r="E22" s="308">
        <v>300</v>
      </c>
      <c r="F22" s="107">
        <f t="shared" si="0"/>
        <v>175770.00000000003</v>
      </c>
      <c r="G22" s="590"/>
      <c r="H22" s="624"/>
      <c r="I22" s="590"/>
      <c r="J22" s="590"/>
      <c r="K22" s="582"/>
      <c r="L22" s="582"/>
      <c r="M22" s="317">
        <v>18</v>
      </c>
      <c r="N22" s="316">
        <v>35</v>
      </c>
      <c r="O22" s="315">
        <v>30</v>
      </c>
      <c r="P22">
        <f t="shared" si="1"/>
        <v>542.5</v>
      </c>
      <c r="Q22" s="318">
        <v>1052.5</v>
      </c>
      <c r="R22">
        <f t="shared" si="2"/>
        <v>510</v>
      </c>
      <c r="S22" s="628"/>
      <c r="T22" s="331" t="s">
        <v>299</v>
      </c>
      <c r="U22" s="331">
        <v>510</v>
      </c>
      <c r="V22" s="231">
        <v>1.08</v>
      </c>
      <c r="W22" s="329">
        <v>300</v>
      </c>
      <c r="X22" s="107">
        <f t="shared" si="3"/>
        <v>165240.00000000003</v>
      </c>
      <c r="Y22" s="590"/>
      <c r="Z22" s="624"/>
      <c r="AA22" s="590"/>
      <c r="AB22" s="590"/>
      <c r="AC22" s="582"/>
      <c r="AD22" s="582"/>
      <c r="AE22" s="330">
        <v>17</v>
      </c>
      <c r="AF22" s="316">
        <v>35</v>
      </c>
      <c r="AG22" s="333">
        <v>30</v>
      </c>
    </row>
    <row r="23" spans="1:33">
      <c r="A23" s="628">
        <v>192</v>
      </c>
      <c r="B23" s="310" t="s">
        <v>101</v>
      </c>
      <c r="C23" s="310">
        <v>1350</v>
      </c>
      <c r="D23" s="231">
        <v>1.1499999999999999</v>
      </c>
      <c r="E23" s="308">
        <v>300</v>
      </c>
      <c r="F23" s="107">
        <f t="shared" si="0"/>
        <v>465749.99999999994</v>
      </c>
      <c r="G23" s="624">
        <v>3383</v>
      </c>
      <c r="H23" s="590">
        <v>7206</v>
      </c>
      <c r="I23" s="590">
        <v>710</v>
      </c>
      <c r="J23" s="590">
        <f>G23/H23*SUM(C23:C28)*I3</f>
        <v>1385292.961421038</v>
      </c>
      <c r="K23" s="582">
        <f>J23+SUM(F23:F28)</f>
        <v>2883372.961421038</v>
      </c>
      <c r="L23" s="582">
        <f>K23/SUM(C23:C28)</f>
        <v>693.78560188186668</v>
      </c>
      <c r="M23" s="317">
        <v>27</v>
      </c>
      <c r="N23" s="316">
        <v>43</v>
      </c>
      <c r="O23" s="315">
        <v>50</v>
      </c>
      <c r="P23">
        <f t="shared" si="1"/>
        <v>1350</v>
      </c>
      <c r="Q23" s="318">
        <v>2150</v>
      </c>
      <c r="R23">
        <f t="shared" si="2"/>
        <v>800</v>
      </c>
      <c r="S23" s="628">
        <v>192</v>
      </c>
      <c r="T23" s="331" t="s">
        <v>101</v>
      </c>
      <c r="U23" s="331">
        <v>800</v>
      </c>
      <c r="V23" s="231">
        <v>1.1499999999999999</v>
      </c>
      <c r="W23" s="329">
        <v>300</v>
      </c>
      <c r="X23" s="107">
        <f t="shared" si="3"/>
        <v>275999.99999999994</v>
      </c>
      <c r="Y23" s="624">
        <v>3500</v>
      </c>
      <c r="Z23" s="590">
        <v>7206</v>
      </c>
      <c r="AA23" s="590">
        <v>720</v>
      </c>
      <c r="AB23" s="590">
        <f>Y23/Z23*SUM(U23:U28)*AA3</f>
        <v>1066611.1573688593</v>
      </c>
      <c r="AC23" s="582">
        <f>AB23+SUM(X23:X28)</f>
        <v>2166861.1573688593</v>
      </c>
      <c r="AD23" s="582">
        <f>AC23/SUM(U23:U28)</f>
        <v>710.44628110454403</v>
      </c>
      <c r="AE23" s="330">
        <v>16</v>
      </c>
      <c r="AF23" s="316">
        <v>43</v>
      </c>
      <c r="AG23" s="333">
        <v>50</v>
      </c>
    </row>
    <row r="24" spans="1:33">
      <c r="A24" s="628"/>
      <c r="B24" s="310" t="s">
        <v>272</v>
      </c>
      <c r="C24" s="310">
        <v>1543</v>
      </c>
      <c r="D24" s="231">
        <v>1.25</v>
      </c>
      <c r="E24" s="308">
        <v>300</v>
      </c>
      <c r="F24" s="107">
        <f t="shared" si="0"/>
        <v>578625</v>
      </c>
      <c r="G24" s="624"/>
      <c r="H24" s="590"/>
      <c r="I24" s="590"/>
      <c r="J24" s="590"/>
      <c r="K24" s="582"/>
      <c r="L24" s="582"/>
      <c r="M24" s="317">
        <v>31</v>
      </c>
      <c r="N24" s="316">
        <v>52</v>
      </c>
      <c r="O24" s="315">
        <v>50</v>
      </c>
      <c r="P24">
        <f t="shared" si="1"/>
        <v>1543</v>
      </c>
      <c r="Q24" s="318">
        <v>2593</v>
      </c>
      <c r="R24">
        <f t="shared" si="2"/>
        <v>1050</v>
      </c>
      <c r="S24" s="628"/>
      <c r="T24" s="331" t="s">
        <v>272</v>
      </c>
      <c r="U24" s="331">
        <v>1050</v>
      </c>
      <c r="V24" s="231">
        <v>1.25</v>
      </c>
      <c r="W24" s="329">
        <v>300</v>
      </c>
      <c r="X24" s="107">
        <f t="shared" si="3"/>
        <v>393750</v>
      </c>
      <c r="Y24" s="624"/>
      <c r="Z24" s="590"/>
      <c r="AA24" s="590"/>
      <c r="AB24" s="590"/>
      <c r="AC24" s="582"/>
      <c r="AD24" s="582"/>
      <c r="AE24" s="330">
        <v>21</v>
      </c>
      <c r="AF24" s="316">
        <v>52</v>
      </c>
      <c r="AG24" s="333">
        <v>50</v>
      </c>
    </row>
    <row r="25" spans="1:33" ht="25.5">
      <c r="A25" s="628"/>
      <c r="B25" s="310" t="s">
        <v>330</v>
      </c>
      <c r="C25" s="310">
        <v>583</v>
      </c>
      <c r="D25" s="231">
        <v>1.25</v>
      </c>
      <c r="E25" s="308">
        <v>300</v>
      </c>
      <c r="F25" s="107">
        <f t="shared" si="0"/>
        <v>218625</v>
      </c>
      <c r="G25" s="624"/>
      <c r="H25" s="590"/>
      <c r="I25" s="590"/>
      <c r="J25" s="590"/>
      <c r="K25" s="582"/>
      <c r="L25" s="582"/>
      <c r="M25" s="317">
        <v>12</v>
      </c>
      <c r="N25" s="316">
        <v>23</v>
      </c>
      <c r="O25" s="315">
        <v>50</v>
      </c>
      <c r="P25">
        <f t="shared" si="1"/>
        <v>583</v>
      </c>
      <c r="Q25" s="318">
        <v>1133</v>
      </c>
      <c r="R25">
        <f t="shared" si="2"/>
        <v>550</v>
      </c>
      <c r="S25" s="628"/>
      <c r="T25" s="332" t="s">
        <v>330</v>
      </c>
      <c r="U25" s="331">
        <v>550</v>
      </c>
      <c r="V25" s="231">
        <v>1.25</v>
      </c>
      <c r="W25" s="329">
        <v>300</v>
      </c>
      <c r="X25" s="107">
        <f t="shared" si="3"/>
        <v>206250</v>
      </c>
      <c r="Y25" s="624"/>
      <c r="Z25" s="590"/>
      <c r="AA25" s="590"/>
      <c r="AB25" s="590"/>
      <c r="AC25" s="582"/>
      <c r="AD25" s="582"/>
      <c r="AE25" s="330">
        <v>11</v>
      </c>
      <c r="AF25" s="316">
        <v>23</v>
      </c>
      <c r="AG25" s="333">
        <v>50</v>
      </c>
    </row>
    <row r="26" spans="1:33">
      <c r="A26" s="628"/>
      <c r="B26" s="310" t="s">
        <v>114</v>
      </c>
      <c r="C26" s="310">
        <v>337</v>
      </c>
      <c r="D26" s="231">
        <v>1.1499999999999999</v>
      </c>
      <c r="E26" s="308">
        <v>300</v>
      </c>
      <c r="F26" s="107">
        <f t="shared" si="0"/>
        <v>116264.99999999999</v>
      </c>
      <c r="G26" s="624"/>
      <c r="H26" s="590"/>
      <c r="I26" s="590"/>
      <c r="J26" s="590"/>
      <c r="K26" s="582"/>
      <c r="L26" s="582"/>
      <c r="M26" s="317">
        <v>7</v>
      </c>
      <c r="N26" s="316">
        <v>13</v>
      </c>
      <c r="O26" s="315">
        <v>50</v>
      </c>
      <c r="P26">
        <f t="shared" si="1"/>
        <v>337</v>
      </c>
      <c r="Q26" s="318">
        <v>637</v>
      </c>
      <c r="R26">
        <f t="shared" si="2"/>
        <v>300</v>
      </c>
      <c r="S26" s="628"/>
      <c r="T26" s="331" t="s">
        <v>114</v>
      </c>
      <c r="U26" s="331">
        <v>300</v>
      </c>
      <c r="V26" s="231">
        <v>1.1499999999999999</v>
      </c>
      <c r="W26" s="329">
        <v>300</v>
      </c>
      <c r="X26" s="107">
        <f t="shared" si="3"/>
        <v>103500</v>
      </c>
      <c r="Y26" s="624"/>
      <c r="Z26" s="590"/>
      <c r="AA26" s="590"/>
      <c r="AB26" s="590"/>
      <c r="AC26" s="582"/>
      <c r="AD26" s="582"/>
      <c r="AE26" s="330">
        <v>6</v>
      </c>
      <c r="AF26" s="316">
        <v>13</v>
      </c>
      <c r="AG26" s="333">
        <v>50</v>
      </c>
    </row>
    <row r="27" spans="1:33">
      <c r="A27" s="628"/>
      <c r="B27" s="310" t="s">
        <v>331</v>
      </c>
      <c r="C27" s="310">
        <v>16</v>
      </c>
      <c r="D27" s="231">
        <v>1.25</v>
      </c>
      <c r="E27" s="308">
        <v>300</v>
      </c>
      <c r="F27" s="107">
        <f t="shared" si="0"/>
        <v>6000</v>
      </c>
      <c r="G27" s="624"/>
      <c r="H27" s="590"/>
      <c r="I27" s="590"/>
      <c r="J27" s="590"/>
      <c r="K27" s="582"/>
      <c r="L27" s="582"/>
      <c r="M27" s="317">
        <v>1</v>
      </c>
      <c r="N27" s="316">
        <v>1</v>
      </c>
      <c r="O27" s="315">
        <v>50</v>
      </c>
      <c r="P27">
        <f t="shared" si="1"/>
        <v>16</v>
      </c>
      <c r="Q27" s="318">
        <v>16</v>
      </c>
      <c r="R27">
        <f t="shared" si="2"/>
        <v>0</v>
      </c>
      <c r="S27" s="628"/>
      <c r="T27" s="331" t="s">
        <v>331</v>
      </c>
      <c r="U27" s="331">
        <v>0</v>
      </c>
      <c r="V27" s="231">
        <v>1.25</v>
      </c>
      <c r="W27" s="329">
        <v>300</v>
      </c>
      <c r="X27" s="107">
        <f t="shared" si="3"/>
        <v>0</v>
      </c>
      <c r="Y27" s="624"/>
      <c r="Z27" s="590"/>
      <c r="AA27" s="590"/>
      <c r="AB27" s="590"/>
      <c r="AC27" s="582"/>
      <c r="AD27" s="582"/>
      <c r="AE27" s="330">
        <v>0</v>
      </c>
      <c r="AF27" s="316">
        <v>1</v>
      </c>
      <c r="AG27" s="333">
        <v>50</v>
      </c>
    </row>
    <row r="28" spans="1:33">
      <c r="A28" s="628"/>
      <c r="B28" s="310" t="s">
        <v>100</v>
      </c>
      <c r="C28" s="310">
        <v>327</v>
      </c>
      <c r="D28" s="231">
        <v>1.1499999999999999</v>
      </c>
      <c r="E28" s="308">
        <v>300</v>
      </c>
      <c r="F28" s="107">
        <f t="shared" si="0"/>
        <v>112814.99999999999</v>
      </c>
      <c r="G28" s="624"/>
      <c r="H28" s="590"/>
      <c r="I28" s="590"/>
      <c r="J28" s="590"/>
      <c r="K28" s="582"/>
      <c r="L28" s="582"/>
      <c r="M28" s="317">
        <v>7</v>
      </c>
      <c r="N28" s="316">
        <v>14</v>
      </c>
      <c r="O28" s="315">
        <v>50</v>
      </c>
      <c r="P28">
        <f t="shared" si="1"/>
        <v>327</v>
      </c>
      <c r="Q28" s="318">
        <v>677</v>
      </c>
      <c r="R28">
        <f t="shared" si="2"/>
        <v>350</v>
      </c>
      <c r="S28" s="628"/>
      <c r="T28" s="331" t="s">
        <v>100</v>
      </c>
      <c r="U28" s="331">
        <v>350</v>
      </c>
      <c r="V28" s="231">
        <v>1.1499999999999999</v>
      </c>
      <c r="W28" s="329">
        <v>300</v>
      </c>
      <c r="X28" s="107">
        <f t="shared" si="3"/>
        <v>120749.99999999999</v>
      </c>
      <c r="Y28" s="624"/>
      <c r="Z28" s="590"/>
      <c r="AA28" s="590"/>
      <c r="AB28" s="590"/>
      <c r="AC28" s="582"/>
      <c r="AD28" s="582"/>
      <c r="AE28" s="330">
        <v>7</v>
      </c>
      <c r="AF28" s="316">
        <v>14</v>
      </c>
      <c r="AG28" s="333">
        <v>50</v>
      </c>
    </row>
    <row r="29" spans="1:33">
      <c r="A29" s="226"/>
      <c r="B29" s="1"/>
      <c r="C29" s="2">
        <f>SUM(C3:C28)</f>
        <v>13937</v>
      </c>
      <c r="D29" s="1"/>
      <c r="E29" s="1"/>
      <c r="F29" s="215">
        <f>SUM(F3:F28)</f>
        <v>4698214.5</v>
      </c>
      <c r="G29" s="307">
        <f>SUM(G3:G28)</f>
        <v>12300</v>
      </c>
      <c r="H29" s="215">
        <f>SUM(H3:H28)</f>
        <v>26580.5</v>
      </c>
      <c r="I29" s="307"/>
      <c r="J29" s="307">
        <f>SUM(J3:J28)</f>
        <v>4581462.9616791094</v>
      </c>
      <c r="K29" s="215">
        <f>SUM(K3:K28)</f>
        <v>9279677.4616791084</v>
      </c>
      <c r="L29" s="1"/>
      <c r="M29" s="317">
        <f>SUM(M3:M28)</f>
        <v>363</v>
      </c>
      <c r="N29" s="319">
        <f>SUM(N3:N28)</f>
        <v>699</v>
      </c>
      <c r="P29">
        <f>SUM(P3:P28)</f>
        <v>13937</v>
      </c>
      <c r="Q29" s="2">
        <f>SUM(Q3:Q28)</f>
        <v>26580.5</v>
      </c>
      <c r="R29">
        <f>SUM(R3:R28)</f>
        <v>12643.5</v>
      </c>
      <c r="S29" s="226"/>
      <c r="T29" s="1"/>
      <c r="U29" s="2">
        <f>SUM(U3:U28)</f>
        <v>12643.5</v>
      </c>
      <c r="V29" s="1"/>
      <c r="W29" s="1"/>
      <c r="X29" s="215">
        <f>SUM(X3:X28)</f>
        <v>4238694</v>
      </c>
      <c r="Y29" s="327">
        <f>SUM(Y3:Y28)</f>
        <v>12300</v>
      </c>
      <c r="Z29" s="215">
        <f>SUM(Z3:Z28)</f>
        <v>26580.5</v>
      </c>
      <c r="AA29" s="327"/>
      <c r="AB29" s="327">
        <f>SUM(AB3:AB28)</f>
        <v>4203952.3016564539</v>
      </c>
      <c r="AC29" s="215">
        <f>SUM(AC3:AC28)</f>
        <v>8442646.3016564548</v>
      </c>
      <c r="AD29" s="1"/>
      <c r="AE29" s="27">
        <f>SUM(AE3:AE28)</f>
        <v>336</v>
      </c>
      <c r="AF29" s="319">
        <f>SUM(AF3:AF28)</f>
        <v>699</v>
      </c>
      <c r="AG29" s="1"/>
    </row>
    <row r="30" spans="1:33">
      <c r="A30" s="1"/>
      <c r="B30" s="1"/>
      <c r="C30" s="1"/>
      <c r="D30" s="1"/>
      <c r="E30" s="1"/>
      <c r="F30" s="9" t="s">
        <v>233</v>
      </c>
      <c r="G30" s="9"/>
      <c r="H30" s="27">
        <f>K29+K30</f>
        <v>9372474.2362958994</v>
      </c>
      <c r="I30" s="9" t="s">
        <v>232</v>
      </c>
      <c r="J30" s="9"/>
      <c r="K30" s="2">
        <f>K29*1%</f>
        <v>92796.774616791081</v>
      </c>
      <c r="L30" s="1"/>
      <c r="M30" s="1"/>
      <c r="N30" s="1"/>
      <c r="S30" s="1"/>
      <c r="T30" s="1"/>
      <c r="U30" s="1"/>
      <c r="V30" s="1"/>
      <c r="W30" s="1"/>
      <c r="X30" s="9" t="s">
        <v>233</v>
      </c>
      <c r="Y30" s="9"/>
      <c r="Z30" s="27">
        <f>AC29+AC30</f>
        <v>8527072.7646730188</v>
      </c>
      <c r="AA30" s="9" t="s">
        <v>232</v>
      </c>
      <c r="AB30" s="9"/>
      <c r="AC30" s="2">
        <f>AC29*1%</f>
        <v>84426.46301656455</v>
      </c>
      <c r="AD30" s="1"/>
      <c r="AE30" s="324"/>
      <c r="AF30" s="1"/>
      <c r="AG30" s="1"/>
    </row>
    <row r="34" spans="4:9" ht="15" customHeight="1">
      <c r="D34" s="627" t="s">
        <v>286</v>
      </c>
      <c r="E34" s="627"/>
      <c r="F34" s="627"/>
      <c r="G34" s="627"/>
      <c r="H34" s="627"/>
      <c r="I34" s="674">
        <v>45250</v>
      </c>
    </row>
    <row r="35" spans="4:9" ht="15" customHeight="1">
      <c r="D35" s="627"/>
      <c r="E35" s="627"/>
      <c r="F35" s="627"/>
      <c r="G35" s="627"/>
      <c r="H35" s="627"/>
      <c r="I35" s="674"/>
    </row>
    <row r="36" spans="4:9" ht="18.75">
      <c r="D36" s="100" t="s">
        <v>0</v>
      </c>
      <c r="E36" s="100" t="s">
        <v>140</v>
      </c>
      <c r="F36" s="105" t="s">
        <v>125</v>
      </c>
      <c r="G36" s="105" t="s">
        <v>335</v>
      </c>
      <c r="H36" s="105" t="s">
        <v>321</v>
      </c>
      <c r="I36" s="105" t="s">
        <v>332</v>
      </c>
    </row>
    <row r="37" spans="4:9">
      <c r="D37" s="628" t="s">
        <v>294</v>
      </c>
      <c r="E37" s="321" t="s">
        <v>318</v>
      </c>
      <c r="F37" s="316">
        <v>19</v>
      </c>
      <c r="G37" s="320">
        <v>10</v>
      </c>
      <c r="H37" s="320">
        <v>9</v>
      </c>
      <c r="I37" s="323">
        <v>50</v>
      </c>
    </row>
    <row r="38" spans="4:9">
      <c r="D38" s="628"/>
      <c r="E38" s="321" t="s">
        <v>302</v>
      </c>
      <c r="F38" s="316">
        <v>21</v>
      </c>
      <c r="G38" s="320">
        <v>11</v>
      </c>
      <c r="H38" s="320">
        <v>10</v>
      </c>
      <c r="I38" s="323">
        <v>50</v>
      </c>
    </row>
    <row r="39" spans="4:9">
      <c r="D39" s="628"/>
      <c r="E39" s="321" t="s">
        <v>112</v>
      </c>
      <c r="F39" s="316">
        <v>18</v>
      </c>
      <c r="G39" s="320">
        <v>9</v>
      </c>
      <c r="H39" s="320">
        <v>9</v>
      </c>
      <c r="I39" s="323">
        <v>50</v>
      </c>
    </row>
    <row r="40" spans="4:9">
      <c r="D40" s="628"/>
      <c r="E40" s="321" t="s">
        <v>299</v>
      </c>
      <c r="F40" s="316">
        <v>12</v>
      </c>
      <c r="G40" s="320">
        <v>6</v>
      </c>
      <c r="H40" s="320">
        <v>6</v>
      </c>
      <c r="I40" s="323">
        <v>50</v>
      </c>
    </row>
    <row r="41" spans="4:9">
      <c r="D41" s="628"/>
      <c r="E41" s="321" t="s">
        <v>151</v>
      </c>
      <c r="F41" s="316">
        <v>18</v>
      </c>
      <c r="G41" s="320">
        <v>9</v>
      </c>
      <c r="H41" s="320">
        <v>9</v>
      </c>
      <c r="I41" s="323">
        <v>50</v>
      </c>
    </row>
    <row r="42" spans="4:9">
      <c r="D42" s="628"/>
      <c r="E42" s="321" t="s">
        <v>327</v>
      </c>
      <c r="F42" s="316">
        <v>19</v>
      </c>
      <c r="G42" s="320">
        <v>10</v>
      </c>
      <c r="H42" s="320">
        <v>9</v>
      </c>
      <c r="I42" s="323">
        <v>50</v>
      </c>
    </row>
    <row r="43" spans="4:9">
      <c r="D43" s="628"/>
      <c r="E43" s="321" t="s">
        <v>328</v>
      </c>
      <c r="F43" s="316">
        <v>18</v>
      </c>
      <c r="G43" s="320">
        <v>9</v>
      </c>
      <c r="H43" s="320">
        <v>9</v>
      </c>
      <c r="I43" s="323">
        <v>50</v>
      </c>
    </row>
    <row r="44" spans="4:9">
      <c r="D44" s="628"/>
      <c r="E44" s="321" t="s">
        <v>244</v>
      </c>
      <c r="F44" s="316">
        <v>12</v>
      </c>
      <c r="G44" s="320">
        <v>6</v>
      </c>
      <c r="H44" s="320">
        <v>6</v>
      </c>
      <c r="I44" s="323">
        <v>50</v>
      </c>
    </row>
    <row r="45" spans="4:9">
      <c r="D45" s="628" t="s">
        <v>294</v>
      </c>
      <c r="E45" s="322" t="s">
        <v>282</v>
      </c>
      <c r="F45" s="316">
        <v>68</v>
      </c>
      <c r="G45" s="320">
        <v>34</v>
      </c>
      <c r="H45" s="320">
        <v>34</v>
      </c>
      <c r="I45" s="323">
        <v>30</v>
      </c>
    </row>
    <row r="46" spans="4:9">
      <c r="D46" s="628"/>
      <c r="E46" s="321" t="s">
        <v>95</v>
      </c>
      <c r="F46" s="316">
        <v>54</v>
      </c>
      <c r="G46" s="320">
        <v>27</v>
      </c>
      <c r="H46" s="320">
        <v>27</v>
      </c>
      <c r="I46" s="323">
        <v>30</v>
      </c>
    </row>
    <row r="47" spans="4:9">
      <c r="D47" s="628"/>
      <c r="E47" s="321" t="s">
        <v>150</v>
      </c>
      <c r="F47" s="316">
        <v>48</v>
      </c>
      <c r="G47" s="320">
        <v>24</v>
      </c>
      <c r="H47" s="320">
        <v>24</v>
      </c>
      <c r="I47" s="323">
        <v>30</v>
      </c>
    </row>
    <row r="48" spans="4:9">
      <c r="D48" s="628"/>
      <c r="E48" s="321" t="s">
        <v>114</v>
      </c>
      <c r="F48" s="316">
        <v>33</v>
      </c>
      <c r="G48" s="320">
        <v>16</v>
      </c>
      <c r="H48" s="320">
        <v>17</v>
      </c>
      <c r="I48" s="323">
        <v>30</v>
      </c>
    </row>
    <row r="49" spans="4:9">
      <c r="D49" s="628"/>
      <c r="E49" s="321" t="s">
        <v>307</v>
      </c>
      <c r="F49" s="316">
        <v>30</v>
      </c>
      <c r="G49" s="320">
        <v>15</v>
      </c>
      <c r="H49" s="320">
        <v>15</v>
      </c>
      <c r="I49" s="323">
        <v>30</v>
      </c>
    </row>
    <row r="50" spans="4:9">
      <c r="D50" s="628"/>
      <c r="E50" s="322" t="s">
        <v>281</v>
      </c>
      <c r="F50" s="316">
        <v>30</v>
      </c>
      <c r="G50" s="320">
        <v>15</v>
      </c>
      <c r="H50" s="320">
        <v>15</v>
      </c>
      <c r="I50" s="323">
        <v>30</v>
      </c>
    </row>
    <row r="51" spans="4:9">
      <c r="D51" s="628"/>
      <c r="E51" s="321" t="s">
        <v>322</v>
      </c>
      <c r="F51" s="316">
        <v>30</v>
      </c>
      <c r="G51" s="320">
        <v>15</v>
      </c>
      <c r="H51" s="320">
        <v>15</v>
      </c>
      <c r="I51" s="323">
        <v>30</v>
      </c>
    </row>
    <row r="52" spans="4:9">
      <c r="D52" s="628"/>
      <c r="E52" s="321" t="s">
        <v>329</v>
      </c>
      <c r="F52" s="316">
        <v>18</v>
      </c>
      <c r="G52" s="320">
        <v>9</v>
      </c>
      <c r="H52" s="320">
        <v>9</v>
      </c>
      <c r="I52" s="323">
        <v>30</v>
      </c>
    </row>
    <row r="53" spans="4:9">
      <c r="D53" s="628"/>
      <c r="E53" s="321" t="s">
        <v>151</v>
      </c>
      <c r="F53" s="316">
        <v>18</v>
      </c>
      <c r="G53" s="320">
        <v>9</v>
      </c>
      <c r="H53" s="320">
        <v>9</v>
      </c>
      <c r="I53" s="323">
        <v>30</v>
      </c>
    </row>
    <row r="54" spans="4:9">
      <c r="D54" s="628"/>
      <c r="E54" s="321" t="s">
        <v>302</v>
      </c>
      <c r="F54" s="316">
        <v>22</v>
      </c>
      <c r="G54" s="320">
        <v>11</v>
      </c>
      <c r="H54" s="320">
        <v>11</v>
      </c>
      <c r="I54" s="323">
        <v>30</v>
      </c>
    </row>
    <row r="55" spans="4:9">
      <c r="D55" s="628"/>
      <c r="E55" s="321" t="s">
        <v>327</v>
      </c>
      <c r="F55" s="316">
        <v>30</v>
      </c>
      <c r="G55" s="320">
        <v>15</v>
      </c>
      <c r="H55" s="320">
        <v>15</v>
      </c>
      <c r="I55" s="323">
        <v>30</v>
      </c>
    </row>
    <row r="56" spans="4:9">
      <c r="D56" s="628"/>
      <c r="E56" s="321" t="s">
        <v>299</v>
      </c>
      <c r="F56" s="316">
        <v>35</v>
      </c>
      <c r="G56" s="320">
        <v>18</v>
      </c>
      <c r="H56" s="320">
        <v>17</v>
      </c>
      <c r="I56" s="323">
        <v>30</v>
      </c>
    </row>
    <row r="57" spans="4:9">
      <c r="D57" s="628">
        <v>192</v>
      </c>
      <c r="E57" s="321" t="s">
        <v>101</v>
      </c>
      <c r="F57" s="316">
        <v>43</v>
      </c>
      <c r="G57" s="320">
        <v>27</v>
      </c>
      <c r="H57" s="320">
        <v>16</v>
      </c>
      <c r="I57" s="323">
        <v>50</v>
      </c>
    </row>
    <row r="58" spans="4:9">
      <c r="D58" s="628"/>
      <c r="E58" s="321" t="s">
        <v>272</v>
      </c>
      <c r="F58" s="316">
        <v>52</v>
      </c>
      <c r="G58" s="320">
        <v>31</v>
      </c>
      <c r="H58" s="320">
        <v>21</v>
      </c>
      <c r="I58" s="323">
        <v>50</v>
      </c>
    </row>
    <row r="59" spans="4:9" ht="25.5">
      <c r="D59" s="628"/>
      <c r="E59" s="322" t="s">
        <v>330</v>
      </c>
      <c r="F59" s="316">
        <v>23</v>
      </c>
      <c r="G59" s="320">
        <v>12</v>
      </c>
      <c r="H59" s="320">
        <v>11</v>
      </c>
      <c r="I59" s="323">
        <v>50</v>
      </c>
    </row>
    <row r="60" spans="4:9">
      <c r="D60" s="628"/>
      <c r="E60" s="321" t="s">
        <v>114</v>
      </c>
      <c r="F60" s="316">
        <v>13</v>
      </c>
      <c r="G60" s="320">
        <v>7</v>
      </c>
      <c r="H60" s="320">
        <v>6</v>
      </c>
      <c r="I60" s="323">
        <v>50</v>
      </c>
    </row>
    <row r="61" spans="4:9" ht="25.5">
      <c r="D61" s="628"/>
      <c r="E61" s="322" t="s">
        <v>331</v>
      </c>
      <c r="F61" s="316">
        <v>1</v>
      </c>
      <c r="G61" s="320">
        <v>1</v>
      </c>
      <c r="H61" s="320">
        <v>0</v>
      </c>
      <c r="I61" s="323">
        <v>50</v>
      </c>
    </row>
    <row r="62" spans="4:9">
      <c r="D62" s="628"/>
      <c r="E62" s="321" t="s">
        <v>100</v>
      </c>
      <c r="F62" s="316">
        <v>14</v>
      </c>
      <c r="G62" s="320">
        <v>7</v>
      </c>
      <c r="H62" s="320">
        <v>7</v>
      </c>
      <c r="I62" s="323">
        <v>50</v>
      </c>
    </row>
    <row r="63" spans="4:9">
      <c r="D63" s="226"/>
      <c r="E63" s="2" t="s">
        <v>4</v>
      </c>
      <c r="F63" s="319">
        <f>SUM(F37:F62)</f>
        <v>699</v>
      </c>
      <c r="G63" s="320">
        <f>SUM(G37:G62)</f>
        <v>363</v>
      </c>
      <c r="H63" s="27">
        <f>SUM(H37:H62)</f>
        <v>336</v>
      </c>
      <c r="I63" s="1"/>
    </row>
  </sheetData>
  <mergeCells count="37">
    <mergeCell ref="D37:D44"/>
    <mergeCell ref="D45:D56"/>
    <mergeCell ref="D57:D62"/>
    <mergeCell ref="I34:I35"/>
    <mergeCell ref="D34:H35"/>
    <mergeCell ref="S11:S22"/>
    <mergeCell ref="L23:L28"/>
    <mergeCell ref="A11:A22"/>
    <mergeCell ref="A3:A10"/>
    <mergeCell ref="A23:A28"/>
    <mergeCell ref="G3:G22"/>
    <mergeCell ref="H3:H22"/>
    <mergeCell ref="I3:I22"/>
    <mergeCell ref="J3:J22"/>
    <mergeCell ref="K3:K22"/>
    <mergeCell ref="L3:L22"/>
    <mergeCell ref="G23:G28"/>
    <mergeCell ref="H23:H28"/>
    <mergeCell ref="I23:I28"/>
    <mergeCell ref="J23:J28"/>
    <mergeCell ref="K23:K28"/>
    <mergeCell ref="A1:N1"/>
    <mergeCell ref="S1:AF1"/>
    <mergeCell ref="AC23:AC28"/>
    <mergeCell ref="AD23:AD28"/>
    <mergeCell ref="S23:S28"/>
    <mergeCell ref="Y23:Y28"/>
    <mergeCell ref="Z23:Z28"/>
    <mergeCell ref="AA23:AA28"/>
    <mergeCell ref="AB23:AB28"/>
    <mergeCell ref="S3:S10"/>
    <mergeCell ref="Y3:Y22"/>
    <mergeCell ref="Z3:Z22"/>
    <mergeCell ref="AA3:AA22"/>
    <mergeCell ref="AB3:AB22"/>
    <mergeCell ref="AC3:AC22"/>
    <mergeCell ref="AD3:AD22"/>
  </mergeCells>
  <pageMargins left="0.15" right="0.15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1"/>
  <sheetViews>
    <sheetView workbookViewId="0">
      <selection sqref="A1:N9"/>
    </sheetView>
  </sheetViews>
  <sheetFormatPr defaultRowHeight="15"/>
  <cols>
    <col min="22" max="22" width="10.85546875" customWidth="1"/>
    <col min="23" max="23" width="9.85546875" customWidth="1"/>
  </cols>
  <sheetData>
    <row r="1" spans="1:30" ht="28.5">
      <c r="A1" s="605" t="s">
        <v>336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70">
        <v>45259</v>
      </c>
      <c r="N1" s="612"/>
      <c r="Q1" s="605" t="s">
        <v>195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70">
        <v>45259</v>
      </c>
      <c r="AD1" s="612"/>
    </row>
    <row r="2" spans="1:30" ht="42">
      <c r="A2" s="100" t="s">
        <v>0</v>
      </c>
      <c r="B2" s="100" t="s">
        <v>140</v>
      </c>
      <c r="C2" s="103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311" t="s">
        <v>325</v>
      </c>
      <c r="N2" s="347" t="s">
        <v>251</v>
      </c>
      <c r="Q2" s="100" t="s">
        <v>0</v>
      </c>
      <c r="R2" s="100" t="s">
        <v>140</v>
      </c>
      <c r="S2" s="103" t="s">
        <v>123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311" t="s">
        <v>325</v>
      </c>
      <c r="AD2" s="124" t="s">
        <v>250</v>
      </c>
    </row>
    <row r="3" spans="1:30">
      <c r="A3" s="675" t="s">
        <v>268</v>
      </c>
      <c r="B3" s="334" t="s">
        <v>272</v>
      </c>
      <c r="C3" s="334">
        <v>600</v>
      </c>
      <c r="D3" s="335">
        <v>1.55</v>
      </c>
      <c r="E3" s="326">
        <v>305</v>
      </c>
      <c r="F3" s="107">
        <f>C3*D3*E3</f>
        <v>283650</v>
      </c>
      <c r="G3" s="675">
        <v>1240</v>
      </c>
      <c r="H3" s="590">
        <v>2005</v>
      </c>
      <c r="I3" s="590">
        <v>720</v>
      </c>
      <c r="J3" s="590">
        <f>G3/H3*SUM(C3:C5)*I3</f>
        <v>518759.10224438907</v>
      </c>
      <c r="K3" s="582">
        <f>J3+SUM(F3:F5)</f>
        <v>1076680.352244389</v>
      </c>
      <c r="L3" s="582">
        <f>K3/SUM(C3:C5)</f>
        <v>924.18914355741549</v>
      </c>
      <c r="M3" s="336">
        <v>35</v>
      </c>
      <c r="N3" s="340">
        <f>M3-AD3</f>
        <v>20</v>
      </c>
      <c r="O3" s="334">
        <v>1044</v>
      </c>
      <c r="P3">
        <f>S3*40%</f>
        <v>177.60000000000002</v>
      </c>
      <c r="Q3" s="675" t="s">
        <v>268</v>
      </c>
      <c r="R3" s="334" t="s">
        <v>272</v>
      </c>
      <c r="S3" s="334">
        <f>O3-C3</f>
        <v>444</v>
      </c>
      <c r="T3" s="335">
        <v>1.55</v>
      </c>
      <c r="U3" s="329">
        <v>305</v>
      </c>
      <c r="V3" s="107">
        <f>S3*T3*U3</f>
        <v>209901</v>
      </c>
      <c r="W3" s="675">
        <v>1240</v>
      </c>
      <c r="X3" s="590">
        <v>2005</v>
      </c>
      <c r="Y3" s="590">
        <v>720</v>
      </c>
      <c r="Z3" s="590">
        <f>W3/X3*SUM(S3:S5)*Y3</f>
        <v>374040.89775561093</v>
      </c>
      <c r="AA3" s="582">
        <f>Z3+SUM(V3:V5)</f>
        <v>775725.89775561099</v>
      </c>
      <c r="AB3" s="582">
        <f>AA3/SUM(S3:S5)</f>
        <v>923.48321161382262</v>
      </c>
      <c r="AC3" s="336">
        <v>35</v>
      </c>
      <c r="AD3" s="327">
        <v>15</v>
      </c>
    </row>
    <row r="4" spans="1:30">
      <c r="A4" s="675"/>
      <c r="B4" s="334" t="s">
        <v>96</v>
      </c>
      <c r="C4" s="334">
        <v>330</v>
      </c>
      <c r="D4" s="335">
        <v>1.55</v>
      </c>
      <c r="E4" s="326">
        <v>305</v>
      </c>
      <c r="F4" s="107">
        <f t="shared" ref="F4:F7" si="0">C4*D4*E4</f>
        <v>156007.5</v>
      </c>
      <c r="G4" s="675"/>
      <c r="H4" s="590"/>
      <c r="I4" s="590"/>
      <c r="J4" s="590"/>
      <c r="K4" s="582"/>
      <c r="L4" s="582"/>
      <c r="M4" s="336">
        <v>19</v>
      </c>
      <c r="N4" s="340">
        <f t="shared" ref="N4:N7" si="1">M4-AD4</f>
        <v>11</v>
      </c>
      <c r="O4" s="334">
        <v>576</v>
      </c>
      <c r="P4">
        <f t="shared" ref="P4:P7" si="2">S4*40%</f>
        <v>98.4</v>
      </c>
      <c r="Q4" s="675"/>
      <c r="R4" s="334" t="s">
        <v>96</v>
      </c>
      <c r="S4" s="341">
        <f t="shared" ref="S4:S7" si="3">O4-C4</f>
        <v>246</v>
      </c>
      <c r="T4" s="335">
        <v>1.55</v>
      </c>
      <c r="U4" s="329">
        <v>305</v>
      </c>
      <c r="V4" s="107">
        <f t="shared" ref="V4:V7" si="4">S4*T4*U4</f>
        <v>116296.5</v>
      </c>
      <c r="W4" s="675"/>
      <c r="X4" s="590"/>
      <c r="Y4" s="590"/>
      <c r="Z4" s="590"/>
      <c r="AA4" s="582"/>
      <c r="AB4" s="582"/>
      <c r="AC4" s="336">
        <v>19</v>
      </c>
      <c r="AD4" s="327">
        <v>8</v>
      </c>
    </row>
    <row r="5" spans="1:30">
      <c r="A5" s="675"/>
      <c r="B5" s="334" t="s">
        <v>95</v>
      </c>
      <c r="C5" s="334">
        <v>235</v>
      </c>
      <c r="D5" s="335">
        <v>1.65</v>
      </c>
      <c r="E5" s="326">
        <v>305</v>
      </c>
      <c r="F5" s="107">
        <f t="shared" si="0"/>
        <v>118263.75</v>
      </c>
      <c r="G5" s="675"/>
      <c r="H5" s="590"/>
      <c r="I5" s="590"/>
      <c r="J5" s="590"/>
      <c r="K5" s="582"/>
      <c r="L5" s="582"/>
      <c r="M5" s="336">
        <v>13</v>
      </c>
      <c r="N5" s="340">
        <f t="shared" si="1"/>
        <v>7</v>
      </c>
      <c r="O5" s="334">
        <v>385</v>
      </c>
      <c r="P5">
        <f t="shared" si="2"/>
        <v>60</v>
      </c>
      <c r="Q5" s="675"/>
      <c r="R5" s="334" t="s">
        <v>95</v>
      </c>
      <c r="S5" s="341">
        <f t="shared" si="3"/>
        <v>150</v>
      </c>
      <c r="T5" s="335">
        <v>1.65</v>
      </c>
      <c r="U5" s="329">
        <v>305</v>
      </c>
      <c r="V5" s="107">
        <f t="shared" si="4"/>
        <v>75487.5</v>
      </c>
      <c r="W5" s="675"/>
      <c r="X5" s="590"/>
      <c r="Y5" s="590"/>
      <c r="Z5" s="590"/>
      <c r="AA5" s="582"/>
      <c r="AB5" s="582"/>
      <c r="AC5" s="336">
        <v>13</v>
      </c>
      <c r="AD5" s="327">
        <v>6</v>
      </c>
    </row>
    <row r="6" spans="1:30">
      <c r="A6" s="334" t="s">
        <v>240</v>
      </c>
      <c r="B6" s="334" t="s">
        <v>101</v>
      </c>
      <c r="C6" s="334">
        <v>1653</v>
      </c>
      <c r="D6" s="335">
        <v>1.08</v>
      </c>
      <c r="E6" s="326">
        <v>305</v>
      </c>
      <c r="F6" s="107">
        <f t="shared" si="0"/>
        <v>544498.19999999995</v>
      </c>
      <c r="G6" s="334">
        <v>1344</v>
      </c>
      <c r="H6" s="326">
        <v>2883</v>
      </c>
      <c r="I6" s="98">
        <v>720</v>
      </c>
      <c r="J6" s="98">
        <f>G6/H6*SUM(C6:C6)*I6</f>
        <v>554830.05202913634</v>
      </c>
      <c r="K6" s="97">
        <f>J6+F6</f>
        <v>1099328.2520291363</v>
      </c>
      <c r="L6" s="97">
        <f>K6/C6</f>
        <v>665.05036420395425</v>
      </c>
      <c r="M6" s="336">
        <v>96</v>
      </c>
      <c r="N6" s="340">
        <f t="shared" si="1"/>
        <v>55</v>
      </c>
      <c r="O6" s="334">
        <v>2883</v>
      </c>
      <c r="P6">
        <f t="shared" si="2"/>
        <v>492</v>
      </c>
      <c r="Q6" s="334" t="s">
        <v>240</v>
      </c>
      <c r="R6" s="334" t="s">
        <v>101</v>
      </c>
      <c r="S6" s="341">
        <f>O6-C6</f>
        <v>1230</v>
      </c>
      <c r="T6" s="335">
        <v>1.08</v>
      </c>
      <c r="U6" s="329">
        <v>305</v>
      </c>
      <c r="V6" s="107">
        <f t="shared" si="4"/>
        <v>405162</v>
      </c>
      <c r="W6" s="334">
        <v>1344</v>
      </c>
      <c r="X6" s="329">
        <v>2883</v>
      </c>
      <c r="Y6" s="329">
        <v>720</v>
      </c>
      <c r="Z6" s="329">
        <f>W6/X6*SUM(S6:S6)*Y6</f>
        <v>412849.94797086366</v>
      </c>
      <c r="AA6" s="328">
        <f>Z6+V6</f>
        <v>818011.94797086366</v>
      </c>
      <c r="AB6" s="328">
        <f>AA6/S6</f>
        <v>665.05036420395425</v>
      </c>
      <c r="AC6" s="336">
        <v>96</v>
      </c>
      <c r="AD6" s="327">
        <v>41</v>
      </c>
    </row>
    <row r="7" spans="1:30">
      <c r="A7" s="334" t="s">
        <v>240</v>
      </c>
      <c r="B7" s="334" t="s">
        <v>101</v>
      </c>
      <c r="C7" s="334">
        <v>853</v>
      </c>
      <c r="D7" s="335">
        <v>1.08</v>
      </c>
      <c r="E7" s="326">
        <v>305</v>
      </c>
      <c r="F7" s="107">
        <f t="shared" si="0"/>
        <v>280978.2</v>
      </c>
      <c r="G7" s="334">
        <v>796</v>
      </c>
      <c r="H7" s="326">
        <v>1543</v>
      </c>
      <c r="I7" s="98">
        <v>720</v>
      </c>
      <c r="J7" s="98">
        <f>G7/H7*SUM(C7:C7)*I7</f>
        <v>316831.73039533373</v>
      </c>
      <c r="K7" s="97">
        <f>J7+F7</f>
        <v>597809.93039533379</v>
      </c>
      <c r="L7" s="97">
        <f>K7/C7</f>
        <v>700.83227478937135</v>
      </c>
      <c r="M7" s="336">
        <v>51</v>
      </c>
      <c r="N7" s="340">
        <f t="shared" si="1"/>
        <v>28</v>
      </c>
      <c r="O7" s="334">
        <v>1543</v>
      </c>
      <c r="P7">
        <f t="shared" si="2"/>
        <v>276</v>
      </c>
      <c r="Q7" s="334" t="s">
        <v>240</v>
      </c>
      <c r="R7" s="334" t="s">
        <v>101</v>
      </c>
      <c r="S7" s="341">
        <f t="shared" si="3"/>
        <v>690</v>
      </c>
      <c r="T7" s="335">
        <v>1.08</v>
      </c>
      <c r="U7" s="329">
        <v>305</v>
      </c>
      <c r="V7" s="107">
        <f t="shared" si="4"/>
        <v>227286</v>
      </c>
      <c r="W7" s="334">
        <v>796</v>
      </c>
      <c r="X7" s="329">
        <v>1543</v>
      </c>
      <c r="Y7" s="329">
        <v>720</v>
      </c>
      <c r="Z7" s="329">
        <f>W7/X7*SUM(S7:S7)*Y7</f>
        <v>256288.26960466622</v>
      </c>
      <c r="AA7" s="328">
        <f>Z7+V7</f>
        <v>483574.26960466622</v>
      </c>
      <c r="AB7" s="328">
        <f>AA7/S7</f>
        <v>700.83227478937135</v>
      </c>
      <c r="AC7" s="336">
        <v>51</v>
      </c>
      <c r="AD7" s="327">
        <v>23</v>
      </c>
    </row>
    <row r="8" spans="1:30">
      <c r="A8" s="325" t="s">
        <v>4</v>
      </c>
      <c r="B8" s="325"/>
      <c r="C8" s="325">
        <f>SUM(C3:C7)</f>
        <v>3671</v>
      </c>
      <c r="D8" s="325"/>
      <c r="E8" s="325"/>
      <c r="F8" s="215">
        <f>SUM(F3:F7)</f>
        <v>1383397.65</v>
      </c>
      <c r="G8" s="325">
        <f>SUM(G3:G7)</f>
        <v>3380</v>
      </c>
      <c r="H8" s="215">
        <f>SUM(H3:H7)</f>
        <v>6431</v>
      </c>
      <c r="I8" s="325"/>
      <c r="J8" s="325">
        <f>SUM(J3:J7)</f>
        <v>1390420.8846688592</v>
      </c>
      <c r="K8" s="215">
        <f>SUM(K3:K7)</f>
        <v>2773818.5346688591</v>
      </c>
      <c r="L8" s="325"/>
      <c r="M8" s="325">
        <f>SUM(M3:M7)</f>
        <v>214</v>
      </c>
      <c r="N8" s="340">
        <f>SUM(N3:N7)</f>
        <v>121</v>
      </c>
      <c r="O8" s="339">
        <f>SUM(O3:O7)</f>
        <v>6431</v>
      </c>
      <c r="Q8" s="327" t="s">
        <v>4</v>
      </c>
      <c r="R8" s="327"/>
      <c r="S8" s="327">
        <f>SUM(S3:S7)</f>
        <v>2760</v>
      </c>
      <c r="T8" s="327"/>
      <c r="U8" s="327"/>
      <c r="V8" s="215">
        <f>SUM(V3:V7)</f>
        <v>1034133</v>
      </c>
      <c r="W8" s="327">
        <f>SUM(W3:W7)</f>
        <v>3380</v>
      </c>
      <c r="X8" s="215">
        <f>SUM(X3:X7)</f>
        <v>6431</v>
      </c>
      <c r="Y8" s="327"/>
      <c r="Z8" s="327">
        <f>SUM(Z3:Z7)</f>
        <v>1043179.1153311408</v>
      </c>
      <c r="AA8" s="215">
        <f>SUM(AA3:AA7)</f>
        <v>2077312.1153311408</v>
      </c>
      <c r="AB8" s="327"/>
      <c r="AC8" s="327">
        <f>SUM(AC3:AC7)</f>
        <v>214</v>
      </c>
      <c r="AD8" s="327">
        <f>SUM(AD3:AD7)</f>
        <v>93</v>
      </c>
    </row>
    <row r="9" spans="1:30">
      <c r="A9" s="2"/>
      <c r="B9" s="2"/>
      <c r="C9" s="2"/>
      <c r="D9" s="2"/>
      <c r="E9" s="2"/>
      <c r="F9" s="558" t="s">
        <v>233</v>
      </c>
      <c r="G9" s="558"/>
      <c r="H9" s="27">
        <f>K8+K9</f>
        <v>2801556.7200155477</v>
      </c>
      <c r="I9" s="558" t="s">
        <v>232</v>
      </c>
      <c r="J9" s="558"/>
      <c r="K9" s="2">
        <f>K8*1%</f>
        <v>27738.185346688591</v>
      </c>
      <c r="L9" s="2"/>
      <c r="M9" s="2"/>
      <c r="N9" s="2"/>
      <c r="Q9" s="2"/>
      <c r="R9" s="2"/>
      <c r="S9" s="2"/>
      <c r="T9" s="2"/>
      <c r="U9" s="2"/>
      <c r="V9" s="558" t="s">
        <v>233</v>
      </c>
      <c r="W9" s="558"/>
      <c r="X9" s="27">
        <f>AA8+AA9</f>
        <v>2098085.2364844522</v>
      </c>
      <c r="Y9" s="558" t="s">
        <v>232</v>
      </c>
      <c r="Z9" s="558"/>
      <c r="AA9" s="327">
        <f>AA8*1%</f>
        <v>20773.121153311407</v>
      </c>
      <c r="AB9" s="2"/>
      <c r="AC9" s="2"/>
      <c r="AD9" s="2"/>
    </row>
    <row r="12" spans="1:30">
      <c r="Q12" s="653" t="s">
        <v>286</v>
      </c>
      <c r="R12" s="653"/>
      <c r="S12" s="653"/>
      <c r="T12" s="653"/>
      <c r="U12" s="653"/>
    </row>
    <row r="13" spans="1:30">
      <c r="Q13" s="654"/>
      <c r="R13" s="654"/>
      <c r="S13" s="654"/>
      <c r="T13" s="654"/>
      <c r="U13" s="654"/>
    </row>
    <row r="14" spans="1:30" ht="42">
      <c r="Q14" s="100" t="s">
        <v>0</v>
      </c>
      <c r="R14" s="100" t="s">
        <v>140</v>
      </c>
      <c r="S14" s="311" t="s">
        <v>325</v>
      </c>
      <c r="T14" s="124" t="s">
        <v>250</v>
      </c>
      <c r="U14" s="311" t="s">
        <v>326</v>
      </c>
    </row>
    <row r="15" spans="1:30">
      <c r="Q15" s="675" t="s">
        <v>268</v>
      </c>
      <c r="R15" s="338" t="s">
        <v>272</v>
      </c>
      <c r="S15" s="255">
        <v>35</v>
      </c>
      <c r="T15" s="337">
        <v>15</v>
      </c>
      <c r="U15" s="2">
        <v>20</v>
      </c>
    </row>
    <row r="16" spans="1:30">
      <c r="Q16" s="675"/>
      <c r="R16" s="338" t="s">
        <v>96</v>
      </c>
      <c r="S16" s="255">
        <v>19</v>
      </c>
      <c r="T16" s="337">
        <v>8</v>
      </c>
      <c r="U16" s="2">
        <v>11</v>
      </c>
    </row>
    <row r="17" spans="17:21">
      <c r="Q17" s="675"/>
      <c r="R17" s="338" t="s">
        <v>95</v>
      </c>
      <c r="S17" s="255">
        <v>13</v>
      </c>
      <c r="T17" s="337">
        <v>6</v>
      </c>
      <c r="U17" s="2">
        <v>7</v>
      </c>
    </row>
    <row r="18" spans="17:21">
      <c r="Q18" s="338" t="s">
        <v>240</v>
      </c>
      <c r="R18" s="338" t="s">
        <v>101</v>
      </c>
      <c r="S18" s="255">
        <v>96</v>
      </c>
      <c r="T18" s="337">
        <v>41</v>
      </c>
      <c r="U18" s="2">
        <v>55</v>
      </c>
    </row>
    <row r="19" spans="17:21">
      <c r="Q19" s="338" t="s">
        <v>240</v>
      </c>
      <c r="R19" s="338" t="s">
        <v>101</v>
      </c>
      <c r="S19" s="255">
        <v>51</v>
      </c>
      <c r="T19" s="337">
        <v>23</v>
      </c>
      <c r="U19" s="2">
        <v>28</v>
      </c>
    </row>
    <row r="20" spans="17:21">
      <c r="Q20" s="1"/>
      <c r="R20" s="2" t="s">
        <v>4</v>
      </c>
      <c r="S20" s="337">
        <f>SUM(S15:S19)</f>
        <v>214</v>
      </c>
      <c r="T20" s="337">
        <f>SUM(T15:T19)</f>
        <v>93</v>
      </c>
      <c r="U20" s="2">
        <f>S20-T20</f>
        <v>121</v>
      </c>
    </row>
    <row r="21" spans="17:21">
      <c r="Q21" s="1"/>
      <c r="R21" s="1"/>
      <c r="S21" s="1"/>
      <c r="T21" s="1"/>
      <c r="U21" s="1"/>
    </row>
  </sheetData>
  <mergeCells count="24">
    <mergeCell ref="F9:G9"/>
    <mergeCell ref="I9:J9"/>
    <mergeCell ref="G3:G5"/>
    <mergeCell ref="H3:H5"/>
    <mergeCell ref="I3:I5"/>
    <mergeCell ref="J3:J5"/>
    <mergeCell ref="A1:L1"/>
    <mergeCell ref="M1:N1"/>
    <mergeCell ref="Q1:AB1"/>
    <mergeCell ref="K3:K5"/>
    <mergeCell ref="L3:L5"/>
    <mergeCell ref="A3:A5"/>
    <mergeCell ref="Q15:Q17"/>
    <mergeCell ref="Q12:U13"/>
    <mergeCell ref="AC1:AD1"/>
    <mergeCell ref="Q3:Q5"/>
    <mergeCell ref="W3:W5"/>
    <mergeCell ref="X3:X5"/>
    <mergeCell ref="Y3:Y5"/>
    <mergeCell ref="Z3:Z5"/>
    <mergeCell ref="AA3:AA5"/>
    <mergeCell ref="AB3:AB5"/>
    <mergeCell ref="V9:W9"/>
    <mergeCell ref="Y9:Z9"/>
  </mergeCells>
  <pageMargins left="0.76" right="0.2" top="0.75" bottom="0.75" header="0.3" footer="0.3"/>
  <pageSetup paperSize="9" scale="49" orientation="landscape" r:id="rId1"/>
  <ignoredErrors>
    <ignoredError sqref="Z3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"/>
  <sheetViews>
    <sheetView topLeftCell="M1" workbookViewId="0">
      <selection activeCell="AF1" sqref="AF1"/>
    </sheetView>
  </sheetViews>
  <sheetFormatPr defaultRowHeight="15"/>
  <cols>
    <col min="2" max="2" width="9.85546875" bestFit="1" customWidth="1"/>
    <col min="29" max="29" width="7.140625" customWidth="1"/>
    <col min="31" max="31" width="8.85546875" customWidth="1"/>
  </cols>
  <sheetData>
    <row r="1" spans="1:54" ht="28.5">
      <c r="A1" s="605" t="s">
        <v>320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294">
        <v>45189</v>
      </c>
      <c r="R1" s="580" t="s">
        <v>320</v>
      </c>
      <c r="S1" s="581"/>
      <c r="T1" s="581"/>
      <c r="U1" s="581"/>
      <c r="V1" s="581"/>
      <c r="W1" s="581"/>
      <c r="X1" s="581"/>
      <c r="Y1" s="581"/>
      <c r="Z1" s="581"/>
      <c r="AA1" s="581"/>
      <c r="AB1" s="581"/>
      <c r="AC1" s="581"/>
      <c r="AD1" s="581" t="s">
        <v>375</v>
      </c>
      <c r="AE1" s="680"/>
      <c r="AF1" s="294">
        <v>45189</v>
      </c>
    </row>
    <row r="2" spans="1:54" ht="33.7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321</v>
      </c>
      <c r="N2" s="105" t="s">
        <v>125</v>
      </c>
      <c r="O2" s="105" t="s">
        <v>332</v>
      </c>
      <c r="R2" s="100" t="s">
        <v>0</v>
      </c>
      <c r="S2" s="100" t="s">
        <v>140</v>
      </c>
      <c r="T2" s="101" t="s">
        <v>123</v>
      </c>
      <c r="U2" s="101" t="s">
        <v>2</v>
      </c>
      <c r="V2" s="101" t="s">
        <v>3</v>
      </c>
      <c r="W2" s="102" t="s">
        <v>4</v>
      </c>
      <c r="X2" s="103" t="s">
        <v>5</v>
      </c>
      <c r="Y2" s="103" t="s">
        <v>6</v>
      </c>
      <c r="Z2" s="103" t="s">
        <v>7</v>
      </c>
      <c r="AA2" s="101" t="s">
        <v>8</v>
      </c>
      <c r="AB2" s="104" t="s">
        <v>9</v>
      </c>
      <c r="AC2" s="103" t="s">
        <v>10</v>
      </c>
      <c r="AD2" s="105" t="s">
        <v>321</v>
      </c>
      <c r="AE2" s="105" t="s">
        <v>125</v>
      </c>
      <c r="AF2" s="105" t="s">
        <v>332</v>
      </c>
      <c r="AQ2" s="100" t="s">
        <v>0</v>
      </c>
      <c r="AR2" s="100" t="s">
        <v>140</v>
      </c>
      <c r="AS2" s="103" t="s">
        <v>338</v>
      </c>
      <c r="AT2" s="348" t="s">
        <v>125</v>
      </c>
      <c r="AU2" s="679" t="s">
        <v>337</v>
      </c>
      <c r="AV2" s="679"/>
      <c r="AW2" s="679"/>
      <c r="AX2" s="679"/>
      <c r="AY2" s="679"/>
      <c r="AZ2" s="679"/>
      <c r="BA2" s="679"/>
      <c r="BB2" s="679"/>
    </row>
    <row r="3" spans="1:54">
      <c r="A3" s="675" t="s">
        <v>296</v>
      </c>
      <c r="B3" s="346" t="s">
        <v>101</v>
      </c>
      <c r="C3" s="346">
        <f>P3-T3</f>
        <v>1483</v>
      </c>
      <c r="D3" s="335">
        <v>1.1299999999999999</v>
      </c>
      <c r="E3" s="343">
        <v>305</v>
      </c>
      <c r="F3" s="107">
        <f>C3*D3*E3</f>
        <v>511115.9499999999</v>
      </c>
      <c r="G3" s="590">
        <v>7360</v>
      </c>
      <c r="H3" s="624">
        <v>13809</v>
      </c>
      <c r="I3" s="590">
        <v>720</v>
      </c>
      <c r="J3" s="590">
        <f>G3/H3*SUM(C3:C14)*I3</f>
        <v>3311376.4066912881</v>
      </c>
      <c r="K3" s="582">
        <f>J3+SUM(F3:F14)</f>
        <v>6285361.2566912882</v>
      </c>
      <c r="L3" s="582">
        <f>K3/SUM(C3:C14)</f>
        <v>728.39972843797523</v>
      </c>
      <c r="M3" s="344"/>
      <c r="N3" s="336">
        <v>87</v>
      </c>
      <c r="O3" s="345">
        <v>50</v>
      </c>
      <c r="P3" s="440">
        <v>2621</v>
      </c>
      <c r="R3" s="676" t="s">
        <v>296</v>
      </c>
      <c r="S3" s="436" t="s">
        <v>101</v>
      </c>
      <c r="T3" s="436">
        <v>1138</v>
      </c>
      <c r="U3" s="335">
        <v>1.1299999999999999</v>
      </c>
      <c r="V3" s="433">
        <v>305</v>
      </c>
      <c r="W3" s="107">
        <f>T3*U3*V3</f>
        <v>392211.69999999995</v>
      </c>
      <c r="X3" s="540">
        <v>6420</v>
      </c>
      <c r="Y3" s="667">
        <v>13809</v>
      </c>
      <c r="Z3" s="540">
        <v>720</v>
      </c>
      <c r="AA3" s="540">
        <f>X3/Y3*SUM(T3:T14)*Z3</f>
        <v>1733943.9495980882</v>
      </c>
      <c r="AB3" s="598">
        <f>AA3+SUM(W3:W14)</f>
        <v>3519230.9495980884</v>
      </c>
      <c r="AC3" s="598">
        <f>AB3/SUM(T3:T14)</f>
        <v>679.38821420812519</v>
      </c>
      <c r="AD3" s="434">
        <v>38</v>
      </c>
      <c r="AE3" s="336">
        <v>87</v>
      </c>
      <c r="AF3" s="435">
        <v>50</v>
      </c>
      <c r="AQ3" s="676" t="s">
        <v>296</v>
      </c>
      <c r="AR3" s="349" t="s">
        <v>101</v>
      </c>
      <c r="AS3" s="349">
        <v>2621</v>
      </c>
      <c r="AT3" s="336">
        <v>87</v>
      </c>
      <c r="AU3" s="655"/>
      <c r="AV3" s="655"/>
      <c r="AW3" s="655"/>
      <c r="AX3" s="655"/>
      <c r="AY3" s="655"/>
      <c r="AZ3" s="655"/>
      <c r="BA3" s="655"/>
      <c r="BB3" s="655"/>
    </row>
    <row r="4" spans="1:54">
      <c r="A4" s="675"/>
      <c r="B4" s="346" t="s">
        <v>245</v>
      </c>
      <c r="C4" s="440">
        <f t="shared" ref="C4:C25" si="0">P4-T4</f>
        <v>810</v>
      </c>
      <c r="D4" s="335">
        <v>1.1299999999999999</v>
      </c>
      <c r="E4" s="343">
        <v>305</v>
      </c>
      <c r="F4" s="107">
        <f t="shared" ref="F4:F25" si="1">C4*D4*E4</f>
        <v>279166.5</v>
      </c>
      <c r="G4" s="590"/>
      <c r="H4" s="624"/>
      <c r="I4" s="590"/>
      <c r="J4" s="590"/>
      <c r="K4" s="582"/>
      <c r="L4" s="582"/>
      <c r="M4" s="344"/>
      <c r="N4" s="336">
        <v>41</v>
      </c>
      <c r="O4" s="345">
        <v>50</v>
      </c>
      <c r="P4" s="440">
        <v>1234</v>
      </c>
      <c r="R4" s="677"/>
      <c r="S4" s="436" t="s">
        <v>245</v>
      </c>
      <c r="T4" s="436">
        <v>424</v>
      </c>
      <c r="U4" s="335">
        <v>1.1299999999999999</v>
      </c>
      <c r="V4" s="433">
        <v>305</v>
      </c>
      <c r="W4" s="107">
        <f t="shared" ref="W4:W25" si="2">T4*U4*V4</f>
        <v>146131.59999999998</v>
      </c>
      <c r="X4" s="549"/>
      <c r="Y4" s="668"/>
      <c r="Z4" s="549"/>
      <c r="AA4" s="549"/>
      <c r="AB4" s="601"/>
      <c r="AC4" s="601"/>
      <c r="AD4" s="434">
        <v>14</v>
      </c>
      <c r="AE4" s="336">
        <v>41</v>
      </c>
      <c r="AF4" s="435">
        <v>50</v>
      </c>
      <c r="AQ4" s="677"/>
      <c r="AR4" s="349" t="s">
        <v>245</v>
      </c>
      <c r="AS4" s="349">
        <v>1234</v>
      </c>
      <c r="AT4" s="336">
        <v>41</v>
      </c>
      <c r="AU4" s="655"/>
      <c r="AV4" s="655"/>
      <c r="AW4" s="655"/>
      <c r="AX4" s="655"/>
      <c r="AY4" s="655"/>
      <c r="AZ4" s="655"/>
      <c r="BA4" s="655"/>
      <c r="BB4" s="655"/>
    </row>
    <row r="5" spans="1:54">
      <c r="A5" s="675"/>
      <c r="B5" s="346" t="s">
        <v>150</v>
      </c>
      <c r="C5" s="440">
        <f t="shared" si="0"/>
        <v>1230</v>
      </c>
      <c r="D5" s="335">
        <v>1.1299999999999999</v>
      </c>
      <c r="E5" s="343">
        <v>305</v>
      </c>
      <c r="F5" s="107">
        <f t="shared" si="1"/>
        <v>423919.49999999994</v>
      </c>
      <c r="G5" s="590"/>
      <c r="H5" s="624"/>
      <c r="I5" s="590"/>
      <c r="J5" s="590"/>
      <c r="K5" s="582"/>
      <c r="L5" s="582"/>
      <c r="M5" s="344"/>
      <c r="N5" s="336">
        <v>71</v>
      </c>
      <c r="O5" s="345">
        <v>50</v>
      </c>
      <c r="P5" s="440">
        <v>2128</v>
      </c>
      <c r="R5" s="677"/>
      <c r="S5" s="436" t="s">
        <v>150</v>
      </c>
      <c r="T5" s="436">
        <v>898</v>
      </c>
      <c r="U5" s="335">
        <v>1.1299999999999999</v>
      </c>
      <c r="V5" s="433">
        <v>305</v>
      </c>
      <c r="W5" s="107">
        <f t="shared" si="2"/>
        <v>309495.69999999995</v>
      </c>
      <c r="X5" s="549"/>
      <c r="Y5" s="668"/>
      <c r="Z5" s="549"/>
      <c r="AA5" s="549"/>
      <c r="AB5" s="601"/>
      <c r="AC5" s="601"/>
      <c r="AD5" s="434">
        <v>30</v>
      </c>
      <c r="AE5" s="336">
        <v>71</v>
      </c>
      <c r="AF5" s="435">
        <v>50</v>
      </c>
      <c r="AQ5" s="677"/>
      <c r="AR5" s="349" t="s">
        <v>150</v>
      </c>
      <c r="AS5" s="349">
        <v>2128</v>
      </c>
      <c r="AT5" s="336">
        <v>71</v>
      </c>
      <c r="AU5" s="655"/>
      <c r="AV5" s="655"/>
      <c r="AW5" s="655"/>
      <c r="AX5" s="655"/>
      <c r="AY5" s="655"/>
      <c r="AZ5" s="655"/>
      <c r="BA5" s="655"/>
      <c r="BB5" s="655"/>
    </row>
    <row r="6" spans="1:54">
      <c r="A6" s="675"/>
      <c r="B6" s="346" t="s">
        <v>95</v>
      </c>
      <c r="C6" s="440">
        <f t="shared" si="0"/>
        <v>804</v>
      </c>
      <c r="D6" s="335">
        <v>1.1299999999999999</v>
      </c>
      <c r="E6" s="343">
        <v>305</v>
      </c>
      <c r="F6" s="107">
        <f t="shared" si="1"/>
        <v>277098.59999999998</v>
      </c>
      <c r="G6" s="590"/>
      <c r="H6" s="624"/>
      <c r="I6" s="590"/>
      <c r="J6" s="590"/>
      <c r="K6" s="582"/>
      <c r="L6" s="582"/>
      <c r="M6" s="344"/>
      <c r="N6" s="336">
        <v>43</v>
      </c>
      <c r="O6" s="345">
        <v>50</v>
      </c>
      <c r="P6" s="440">
        <v>1284</v>
      </c>
      <c r="R6" s="677"/>
      <c r="S6" s="436" t="s">
        <v>95</v>
      </c>
      <c r="T6" s="436">
        <v>480</v>
      </c>
      <c r="U6" s="335">
        <v>1.1299999999999999</v>
      </c>
      <c r="V6" s="433">
        <v>305</v>
      </c>
      <c r="W6" s="107">
        <f t="shared" si="2"/>
        <v>165432</v>
      </c>
      <c r="X6" s="549"/>
      <c r="Y6" s="668"/>
      <c r="Z6" s="549"/>
      <c r="AA6" s="549"/>
      <c r="AB6" s="601"/>
      <c r="AC6" s="601"/>
      <c r="AD6" s="434">
        <v>16</v>
      </c>
      <c r="AE6" s="336">
        <v>43</v>
      </c>
      <c r="AF6" s="435">
        <v>50</v>
      </c>
      <c r="AQ6" s="677"/>
      <c r="AR6" s="349" t="s">
        <v>95</v>
      </c>
      <c r="AS6" s="349">
        <v>1284</v>
      </c>
      <c r="AT6" s="336">
        <v>43</v>
      </c>
      <c r="AU6" s="655"/>
      <c r="AV6" s="655"/>
      <c r="AW6" s="655"/>
      <c r="AX6" s="655"/>
      <c r="AY6" s="655"/>
      <c r="AZ6" s="655"/>
      <c r="BA6" s="655"/>
      <c r="BB6" s="655"/>
    </row>
    <row r="7" spans="1:54">
      <c r="A7" s="675"/>
      <c r="B7" s="346" t="s">
        <v>102</v>
      </c>
      <c r="C7" s="440">
        <f t="shared" si="0"/>
        <v>974</v>
      </c>
      <c r="D7" s="335">
        <v>1.1299999999999999</v>
      </c>
      <c r="E7" s="343">
        <v>305</v>
      </c>
      <c r="F7" s="107">
        <f t="shared" si="1"/>
        <v>335689.1</v>
      </c>
      <c r="G7" s="590"/>
      <c r="H7" s="624"/>
      <c r="I7" s="590"/>
      <c r="J7" s="590"/>
      <c r="K7" s="582"/>
      <c r="L7" s="582"/>
      <c r="M7" s="344"/>
      <c r="N7" s="336">
        <v>46</v>
      </c>
      <c r="O7" s="345">
        <v>50</v>
      </c>
      <c r="P7" s="440">
        <v>1384</v>
      </c>
      <c r="R7" s="677"/>
      <c r="S7" s="436" t="s">
        <v>102</v>
      </c>
      <c r="T7" s="436">
        <v>410</v>
      </c>
      <c r="U7" s="335">
        <v>1.1299999999999999</v>
      </c>
      <c r="V7" s="433">
        <v>305</v>
      </c>
      <c r="W7" s="107">
        <f t="shared" si="2"/>
        <v>141306.5</v>
      </c>
      <c r="X7" s="549"/>
      <c r="Y7" s="668"/>
      <c r="Z7" s="549"/>
      <c r="AA7" s="549"/>
      <c r="AB7" s="601"/>
      <c r="AC7" s="601"/>
      <c r="AD7" s="434">
        <v>14</v>
      </c>
      <c r="AE7" s="336">
        <v>46</v>
      </c>
      <c r="AF7" s="435">
        <v>50</v>
      </c>
      <c r="AQ7" s="677"/>
      <c r="AR7" s="349" t="s">
        <v>102</v>
      </c>
      <c r="AS7" s="349">
        <v>1384</v>
      </c>
      <c r="AT7" s="336">
        <v>46</v>
      </c>
      <c r="AU7" s="655"/>
      <c r="AV7" s="655"/>
      <c r="AW7" s="655"/>
      <c r="AX7" s="655"/>
      <c r="AY7" s="655"/>
      <c r="AZ7" s="655"/>
      <c r="BA7" s="655"/>
      <c r="BB7" s="655"/>
    </row>
    <row r="8" spans="1:54">
      <c r="A8" s="675"/>
      <c r="B8" s="346" t="s">
        <v>114</v>
      </c>
      <c r="C8" s="440">
        <f t="shared" si="0"/>
        <v>718</v>
      </c>
      <c r="D8" s="335">
        <v>1.1299999999999999</v>
      </c>
      <c r="E8" s="343">
        <v>305</v>
      </c>
      <c r="F8" s="107">
        <f t="shared" si="1"/>
        <v>247458.69999999998</v>
      </c>
      <c r="G8" s="590"/>
      <c r="H8" s="624"/>
      <c r="I8" s="590"/>
      <c r="J8" s="590"/>
      <c r="K8" s="582"/>
      <c r="L8" s="582"/>
      <c r="M8" s="344"/>
      <c r="N8" s="336">
        <v>35</v>
      </c>
      <c r="O8" s="345">
        <v>50</v>
      </c>
      <c r="P8" s="440">
        <v>1052</v>
      </c>
      <c r="R8" s="677"/>
      <c r="S8" s="436" t="s">
        <v>114</v>
      </c>
      <c r="T8" s="436">
        <v>334</v>
      </c>
      <c r="U8" s="335">
        <v>1.1299999999999999</v>
      </c>
      <c r="V8" s="433">
        <v>305</v>
      </c>
      <c r="W8" s="107">
        <f t="shared" si="2"/>
        <v>115113.09999999999</v>
      </c>
      <c r="X8" s="549"/>
      <c r="Y8" s="668"/>
      <c r="Z8" s="549"/>
      <c r="AA8" s="549"/>
      <c r="AB8" s="601"/>
      <c r="AC8" s="601"/>
      <c r="AD8" s="434">
        <v>11</v>
      </c>
      <c r="AE8" s="336">
        <v>35</v>
      </c>
      <c r="AF8" s="435">
        <v>50</v>
      </c>
      <c r="AQ8" s="677"/>
      <c r="AR8" s="349" t="s">
        <v>114</v>
      </c>
      <c r="AS8" s="349">
        <v>1052</v>
      </c>
      <c r="AT8" s="336">
        <v>35</v>
      </c>
      <c r="AU8" s="655"/>
      <c r="AV8" s="655"/>
      <c r="AW8" s="655"/>
      <c r="AX8" s="655"/>
      <c r="AY8" s="655"/>
      <c r="AZ8" s="655"/>
      <c r="BA8" s="655"/>
      <c r="BB8" s="655"/>
    </row>
    <row r="9" spans="1:54">
      <c r="A9" s="675"/>
      <c r="B9" s="346" t="s">
        <v>302</v>
      </c>
      <c r="C9" s="440">
        <f t="shared" si="0"/>
        <v>255</v>
      </c>
      <c r="D9" s="335">
        <v>1.1299999999999999</v>
      </c>
      <c r="E9" s="343">
        <v>305</v>
      </c>
      <c r="F9" s="107">
        <f t="shared" si="1"/>
        <v>87885.75</v>
      </c>
      <c r="G9" s="590"/>
      <c r="H9" s="624"/>
      <c r="I9" s="590"/>
      <c r="J9" s="590"/>
      <c r="K9" s="582"/>
      <c r="L9" s="582"/>
      <c r="M9" s="344"/>
      <c r="N9" s="336">
        <v>15</v>
      </c>
      <c r="O9" s="345">
        <v>50</v>
      </c>
      <c r="P9" s="440">
        <v>465</v>
      </c>
      <c r="R9" s="677"/>
      <c r="S9" s="436" t="s">
        <v>302</v>
      </c>
      <c r="T9" s="436">
        <v>210</v>
      </c>
      <c r="U9" s="335">
        <v>1.1299999999999999</v>
      </c>
      <c r="V9" s="433">
        <v>305</v>
      </c>
      <c r="W9" s="107">
        <f t="shared" si="2"/>
        <v>72376.5</v>
      </c>
      <c r="X9" s="549"/>
      <c r="Y9" s="668"/>
      <c r="Z9" s="549"/>
      <c r="AA9" s="549"/>
      <c r="AB9" s="601"/>
      <c r="AC9" s="601"/>
      <c r="AD9" s="434">
        <v>7</v>
      </c>
      <c r="AE9" s="336">
        <v>15</v>
      </c>
      <c r="AF9" s="435">
        <v>50</v>
      </c>
      <c r="AQ9" s="677"/>
      <c r="AR9" s="349" t="s">
        <v>302</v>
      </c>
      <c r="AS9" s="349">
        <v>465</v>
      </c>
      <c r="AT9" s="336">
        <v>15</v>
      </c>
      <c r="AU9" s="655"/>
      <c r="AV9" s="655"/>
      <c r="AW9" s="655"/>
      <c r="AX9" s="655"/>
      <c r="AY9" s="655"/>
      <c r="AZ9" s="655"/>
      <c r="BA9" s="655"/>
      <c r="BB9" s="655"/>
    </row>
    <row r="10" spans="1:54">
      <c r="A10" s="675"/>
      <c r="B10" s="346" t="s">
        <v>318</v>
      </c>
      <c r="C10" s="440">
        <f t="shared" si="0"/>
        <v>454</v>
      </c>
      <c r="D10" s="335">
        <v>1.1299999999999999</v>
      </c>
      <c r="E10" s="343">
        <v>305</v>
      </c>
      <c r="F10" s="107">
        <f t="shared" si="1"/>
        <v>156471.1</v>
      </c>
      <c r="G10" s="590"/>
      <c r="H10" s="624"/>
      <c r="I10" s="590"/>
      <c r="J10" s="590"/>
      <c r="K10" s="582"/>
      <c r="L10" s="582"/>
      <c r="M10" s="344"/>
      <c r="N10" s="336">
        <v>19</v>
      </c>
      <c r="O10" s="345">
        <v>50</v>
      </c>
      <c r="P10" s="440">
        <v>574</v>
      </c>
      <c r="R10" s="677"/>
      <c r="S10" s="436" t="s">
        <v>318</v>
      </c>
      <c r="T10" s="436">
        <v>120</v>
      </c>
      <c r="U10" s="335">
        <v>1.1299999999999999</v>
      </c>
      <c r="V10" s="433">
        <v>305</v>
      </c>
      <c r="W10" s="107">
        <f t="shared" si="2"/>
        <v>41358</v>
      </c>
      <c r="X10" s="549"/>
      <c r="Y10" s="668"/>
      <c r="Z10" s="549"/>
      <c r="AA10" s="549"/>
      <c r="AB10" s="601"/>
      <c r="AC10" s="601"/>
      <c r="AD10" s="434">
        <v>4</v>
      </c>
      <c r="AE10" s="336">
        <v>19</v>
      </c>
      <c r="AF10" s="435">
        <v>50</v>
      </c>
      <c r="AQ10" s="677"/>
      <c r="AR10" s="349" t="s">
        <v>318</v>
      </c>
      <c r="AS10" s="349">
        <v>574</v>
      </c>
      <c r="AT10" s="336">
        <v>19</v>
      </c>
      <c r="AU10" s="655"/>
      <c r="AV10" s="655"/>
      <c r="AW10" s="655"/>
      <c r="AX10" s="655"/>
      <c r="AY10" s="655"/>
      <c r="AZ10" s="655"/>
      <c r="BA10" s="655"/>
      <c r="BB10" s="655"/>
    </row>
    <row r="11" spans="1:54">
      <c r="A11" s="675"/>
      <c r="B11" s="346" t="s">
        <v>307</v>
      </c>
      <c r="C11" s="440">
        <f t="shared" si="0"/>
        <v>571</v>
      </c>
      <c r="D11" s="335">
        <v>1.1299999999999999</v>
      </c>
      <c r="E11" s="343">
        <v>305</v>
      </c>
      <c r="F11" s="107">
        <f t="shared" si="1"/>
        <v>196795.14999999997</v>
      </c>
      <c r="G11" s="590"/>
      <c r="H11" s="624"/>
      <c r="I11" s="590"/>
      <c r="J11" s="590"/>
      <c r="K11" s="582"/>
      <c r="L11" s="582"/>
      <c r="M11" s="344"/>
      <c r="N11" s="336">
        <v>27</v>
      </c>
      <c r="O11" s="345">
        <v>30</v>
      </c>
      <c r="P11" s="440">
        <v>813</v>
      </c>
      <c r="R11" s="677"/>
      <c r="S11" s="436" t="s">
        <v>307</v>
      </c>
      <c r="T11" s="436">
        <v>242</v>
      </c>
      <c r="U11" s="335">
        <v>1.1299999999999999</v>
      </c>
      <c r="V11" s="433">
        <v>305</v>
      </c>
      <c r="W11" s="107">
        <f t="shared" si="2"/>
        <v>83405.299999999988</v>
      </c>
      <c r="X11" s="549"/>
      <c r="Y11" s="668"/>
      <c r="Z11" s="549"/>
      <c r="AA11" s="549"/>
      <c r="AB11" s="601"/>
      <c r="AC11" s="601"/>
      <c r="AD11" s="434">
        <v>8</v>
      </c>
      <c r="AE11" s="336">
        <v>27</v>
      </c>
      <c r="AF11" s="435">
        <v>30</v>
      </c>
      <c r="AQ11" s="677"/>
      <c r="AR11" s="349" t="s">
        <v>307</v>
      </c>
      <c r="AS11" s="349">
        <v>813</v>
      </c>
      <c r="AT11" s="336">
        <v>27</v>
      </c>
      <c r="AU11" s="655"/>
      <c r="AV11" s="655"/>
      <c r="AW11" s="655"/>
      <c r="AX11" s="655"/>
      <c r="AY11" s="655"/>
      <c r="AZ11" s="655"/>
      <c r="BA11" s="655"/>
      <c r="BB11" s="655"/>
    </row>
    <row r="12" spans="1:54">
      <c r="A12" s="675"/>
      <c r="B12" s="346" t="s">
        <v>285</v>
      </c>
      <c r="C12" s="440">
        <f t="shared" si="0"/>
        <v>210</v>
      </c>
      <c r="D12" s="335">
        <v>1.1299999999999999</v>
      </c>
      <c r="E12" s="343">
        <v>305</v>
      </c>
      <c r="F12" s="107">
        <f t="shared" si="1"/>
        <v>72376.5</v>
      </c>
      <c r="G12" s="590"/>
      <c r="H12" s="624"/>
      <c r="I12" s="590"/>
      <c r="J12" s="590"/>
      <c r="K12" s="582"/>
      <c r="L12" s="582"/>
      <c r="M12" s="344"/>
      <c r="N12" s="336">
        <v>14</v>
      </c>
      <c r="O12" s="345">
        <v>30</v>
      </c>
      <c r="P12" s="440">
        <v>415</v>
      </c>
      <c r="R12" s="677"/>
      <c r="S12" s="436" t="s">
        <v>285</v>
      </c>
      <c r="T12" s="436">
        <v>205</v>
      </c>
      <c r="U12" s="335">
        <v>1.1299999999999999</v>
      </c>
      <c r="V12" s="433">
        <v>305</v>
      </c>
      <c r="W12" s="107">
        <f t="shared" si="2"/>
        <v>70653.25</v>
      </c>
      <c r="X12" s="549"/>
      <c r="Y12" s="668"/>
      <c r="Z12" s="549"/>
      <c r="AA12" s="549"/>
      <c r="AB12" s="601"/>
      <c r="AC12" s="601"/>
      <c r="AD12" s="434">
        <v>7</v>
      </c>
      <c r="AE12" s="336">
        <v>14</v>
      </c>
      <c r="AF12" s="435">
        <v>30</v>
      </c>
      <c r="AQ12" s="677"/>
      <c r="AR12" s="349" t="s">
        <v>285</v>
      </c>
      <c r="AS12" s="349">
        <v>415</v>
      </c>
      <c r="AT12" s="336">
        <v>14</v>
      </c>
      <c r="AU12" s="655"/>
      <c r="AV12" s="655"/>
      <c r="AW12" s="655"/>
      <c r="AX12" s="655"/>
      <c r="AY12" s="655"/>
      <c r="AZ12" s="655"/>
      <c r="BA12" s="655"/>
      <c r="BB12" s="655"/>
    </row>
    <row r="13" spans="1:54">
      <c r="A13" s="675"/>
      <c r="B13" s="346" t="s">
        <v>231</v>
      </c>
      <c r="C13" s="440">
        <f t="shared" si="0"/>
        <v>495</v>
      </c>
      <c r="D13" s="335">
        <v>1.1299999999999999</v>
      </c>
      <c r="E13" s="343">
        <v>305</v>
      </c>
      <c r="F13" s="107">
        <f t="shared" si="1"/>
        <v>170601.74999999997</v>
      </c>
      <c r="G13" s="590"/>
      <c r="H13" s="624"/>
      <c r="I13" s="590"/>
      <c r="J13" s="590"/>
      <c r="K13" s="582"/>
      <c r="L13" s="582"/>
      <c r="M13" s="344"/>
      <c r="N13" s="336">
        <v>24</v>
      </c>
      <c r="O13" s="345">
        <v>30</v>
      </c>
      <c r="P13" s="440">
        <v>734</v>
      </c>
      <c r="R13" s="677"/>
      <c r="S13" s="436" t="s">
        <v>231</v>
      </c>
      <c r="T13" s="436">
        <v>239</v>
      </c>
      <c r="U13" s="335">
        <v>1.1299999999999999</v>
      </c>
      <c r="V13" s="433">
        <v>305</v>
      </c>
      <c r="W13" s="107">
        <f t="shared" si="2"/>
        <v>82371.349999999991</v>
      </c>
      <c r="X13" s="549"/>
      <c r="Y13" s="668"/>
      <c r="Z13" s="549"/>
      <c r="AA13" s="549"/>
      <c r="AB13" s="601"/>
      <c r="AC13" s="601"/>
      <c r="AD13" s="434">
        <v>8</v>
      </c>
      <c r="AE13" s="336">
        <v>24</v>
      </c>
      <c r="AF13" s="435">
        <v>30</v>
      </c>
      <c r="AQ13" s="677"/>
      <c r="AR13" s="349" t="s">
        <v>231</v>
      </c>
      <c r="AS13" s="349">
        <v>734</v>
      </c>
      <c r="AT13" s="336">
        <v>24</v>
      </c>
      <c r="AU13" s="655"/>
      <c r="AV13" s="655"/>
      <c r="AW13" s="655"/>
      <c r="AX13" s="655"/>
      <c r="AY13" s="655"/>
      <c r="AZ13" s="655"/>
      <c r="BA13" s="655"/>
      <c r="BB13" s="655"/>
    </row>
    <row r="14" spans="1:54">
      <c r="A14" s="675"/>
      <c r="B14" s="346" t="s">
        <v>100</v>
      </c>
      <c r="C14" s="440">
        <f t="shared" si="0"/>
        <v>625</v>
      </c>
      <c r="D14" s="335">
        <v>1.1299999999999999</v>
      </c>
      <c r="E14" s="343">
        <v>305</v>
      </c>
      <c r="F14" s="107">
        <f t="shared" si="1"/>
        <v>215406.24999999997</v>
      </c>
      <c r="G14" s="590"/>
      <c r="H14" s="624"/>
      <c r="I14" s="590"/>
      <c r="J14" s="590"/>
      <c r="K14" s="582"/>
      <c r="L14" s="582"/>
      <c r="M14" s="344"/>
      <c r="N14" s="336">
        <v>37</v>
      </c>
      <c r="O14" s="345">
        <v>30</v>
      </c>
      <c r="P14" s="440">
        <v>1105</v>
      </c>
      <c r="R14" s="678"/>
      <c r="S14" s="436" t="s">
        <v>100</v>
      </c>
      <c r="T14" s="436">
        <v>480</v>
      </c>
      <c r="U14" s="335">
        <v>1.1299999999999999</v>
      </c>
      <c r="V14" s="433">
        <v>305</v>
      </c>
      <c r="W14" s="107">
        <f t="shared" si="2"/>
        <v>165432</v>
      </c>
      <c r="X14" s="541"/>
      <c r="Y14" s="669"/>
      <c r="Z14" s="541"/>
      <c r="AA14" s="541"/>
      <c r="AB14" s="599"/>
      <c r="AC14" s="599"/>
      <c r="AD14" s="434">
        <v>16</v>
      </c>
      <c r="AE14" s="336">
        <v>37</v>
      </c>
      <c r="AF14" s="435">
        <v>30</v>
      </c>
      <c r="AQ14" s="678"/>
      <c r="AR14" s="349" t="s">
        <v>100</v>
      </c>
      <c r="AS14" s="349">
        <v>1105</v>
      </c>
      <c r="AT14" s="336">
        <v>37</v>
      </c>
      <c r="AU14" s="655"/>
      <c r="AV14" s="655"/>
      <c r="AW14" s="655"/>
      <c r="AX14" s="655"/>
      <c r="AY14" s="655"/>
      <c r="AZ14" s="655"/>
      <c r="BA14" s="655"/>
      <c r="BB14" s="655"/>
    </row>
    <row r="15" spans="1:54">
      <c r="A15" s="675">
        <v>324</v>
      </c>
      <c r="B15" s="346" t="s">
        <v>101</v>
      </c>
      <c r="C15" s="440">
        <f t="shared" si="0"/>
        <v>513</v>
      </c>
      <c r="D15" s="335">
        <v>1.2</v>
      </c>
      <c r="E15" s="343">
        <v>305</v>
      </c>
      <c r="F15" s="107">
        <f t="shared" si="1"/>
        <v>187758</v>
      </c>
      <c r="G15" s="624">
        <v>6230</v>
      </c>
      <c r="H15" s="590">
        <v>11686</v>
      </c>
      <c r="I15" s="590">
        <v>720</v>
      </c>
      <c r="J15" s="590">
        <f>G15/H15*SUM(C15:C25)*I3</f>
        <v>2101929.2829026184</v>
      </c>
      <c r="K15" s="582">
        <f>J15+SUM(F15:F25)</f>
        <v>4106145.2829026184</v>
      </c>
      <c r="L15" s="582">
        <f>K15/SUM(C15:C25)</f>
        <v>749.84391579667977</v>
      </c>
      <c r="M15" s="344"/>
      <c r="N15" s="336">
        <v>36</v>
      </c>
      <c r="O15" s="345">
        <v>30</v>
      </c>
      <c r="P15" s="440">
        <v>1083</v>
      </c>
      <c r="R15" s="676">
        <v>324</v>
      </c>
      <c r="S15" s="436" t="s">
        <v>101</v>
      </c>
      <c r="T15" s="436">
        <f>AD15*30</f>
        <v>570</v>
      </c>
      <c r="U15" s="335">
        <v>1.2</v>
      </c>
      <c r="V15" s="433">
        <v>305</v>
      </c>
      <c r="W15" s="107">
        <f t="shared" si="2"/>
        <v>208620</v>
      </c>
      <c r="X15" s="667">
        <v>7170</v>
      </c>
      <c r="Y15" s="540">
        <v>11686</v>
      </c>
      <c r="Z15" s="540">
        <v>720</v>
      </c>
      <c r="AA15" s="540">
        <f>X15/Y15*SUM(T15:T25)*Z3</f>
        <v>2743325.6888584634</v>
      </c>
      <c r="AB15" s="598">
        <f>AA15+SUM(W15:W25)</f>
        <v>5016185.6888584634</v>
      </c>
      <c r="AC15" s="598">
        <f>AB15/SUM(T15:T25)</f>
        <v>807.75937018654804</v>
      </c>
      <c r="AD15" s="434">
        <v>19</v>
      </c>
      <c r="AE15" s="336">
        <v>36</v>
      </c>
      <c r="AF15" s="435">
        <v>30</v>
      </c>
      <c r="AQ15" s="676">
        <v>324</v>
      </c>
      <c r="AR15" s="349" t="s">
        <v>101</v>
      </c>
      <c r="AS15" s="349">
        <v>1083</v>
      </c>
      <c r="AT15" s="336">
        <v>36</v>
      </c>
      <c r="AU15" s="655"/>
      <c r="AV15" s="655"/>
      <c r="AW15" s="655"/>
      <c r="AX15" s="655"/>
      <c r="AY15" s="655"/>
      <c r="AZ15" s="655"/>
      <c r="BA15" s="655"/>
      <c r="BB15" s="655"/>
    </row>
    <row r="16" spans="1:54">
      <c r="A16" s="675"/>
      <c r="B16" s="346" t="s">
        <v>311</v>
      </c>
      <c r="C16" s="440">
        <f t="shared" si="0"/>
        <v>710</v>
      </c>
      <c r="D16" s="335">
        <v>1.2</v>
      </c>
      <c r="E16" s="343">
        <v>305</v>
      </c>
      <c r="F16" s="107">
        <f t="shared" si="1"/>
        <v>259860</v>
      </c>
      <c r="G16" s="624"/>
      <c r="H16" s="590"/>
      <c r="I16" s="590"/>
      <c r="J16" s="590"/>
      <c r="K16" s="582"/>
      <c r="L16" s="582"/>
      <c r="M16" s="344"/>
      <c r="N16" s="336">
        <v>50</v>
      </c>
      <c r="O16" s="345">
        <v>30</v>
      </c>
      <c r="P16" s="440">
        <v>1490</v>
      </c>
      <c r="R16" s="677"/>
      <c r="S16" s="436" t="s">
        <v>311</v>
      </c>
      <c r="T16" s="436">
        <f t="shared" ref="T16:T25" si="3">AD16*30</f>
        <v>780</v>
      </c>
      <c r="U16" s="335">
        <v>1.2</v>
      </c>
      <c r="V16" s="433">
        <v>305</v>
      </c>
      <c r="W16" s="107">
        <f t="shared" si="2"/>
        <v>285480</v>
      </c>
      <c r="X16" s="668"/>
      <c r="Y16" s="549"/>
      <c r="Z16" s="549"/>
      <c r="AA16" s="549"/>
      <c r="AB16" s="601"/>
      <c r="AC16" s="601"/>
      <c r="AD16" s="434">
        <v>26</v>
      </c>
      <c r="AE16" s="336">
        <v>50</v>
      </c>
      <c r="AF16" s="435">
        <v>30</v>
      </c>
      <c r="AQ16" s="677"/>
      <c r="AR16" s="349" t="s">
        <v>311</v>
      </c>
      <c r="AS16" s="349">
        <v>1490</v>
      </c>
      <c r="AT16" s="336">
        <v>50</v>
      </c>
      <c r="AU16" s="655"/>
      <c r="AV16" s="655"/>
      <c r="AW16" s="655"/>
      <c r="AX16" s="655"/>
      <c r="AY16" s="655"/>
      <c r="AZ16" s="655"/>
      <c r="BA16" s="655"/>
      <c r="BB16" s="655"/>
    </row>
    <row r="17" spans="1:54">
      <c r="A17" s="675"/>
      <c r="B17" s="346" t="s">
        <v>161</v>
      </c>
      <c r="C17" s="440">
        <f t="shared" si="0"/>
        <v>465</v>
      </c>
      <c r="D17" s="335">
        <v>1.2</v>
      </c>
      <c r="E17" s="343">
        <v>305</v>
      </c>
      <c r="F17" s="107">
        <f t="shared" si="1"/>
        <v>170190</v>
      </c>
      <c r="G17" s="624"/>
      <c r="H17" s="590"/>
      <c r="I17" s="590"/>
      <c r="J17" s="590"/>
      <c r="K17" s="582"/>
      <c r="L17" s="582"/>
      <c r="M17" s="344"/>
      <c r="N17" s="336">
        <v>34</v>
      </c>
      <c r="O17" s="345">
        <v>30</v>
      </c>
      <c r="P17" s="440">
        <v>1005</v>
      </c>
      <c r="R17" s="677"/>
      <c r="S17" s="436" t="s">
        <v>161</v>
      </c>
      <c r="T17" s="436">
        <f t="shared" si="3"/>
        <v>540</v>
      </c>
      <c r="U17" s="335">
        <v>1.2</v>
      </c>
      <c r="V17" s="433">
        <v>305</v>
      </c>
      <c r="W17" s="107">
        <f t="shared" si="2"/>
        <v>197640</v>
      </c>
      <c r="X17" s="668"/>
      <c r="Y17" s="549"/>
      <c r="Z17" s="549"/>
      <c r="AA17" s="549"/>
      <c r="AB17" s="601"/>
      <c r="AC17" s="601"/>
      <c r="AD17" s="434">
        <v>18</v>
      </c>
      <c r="AE17" s="336">
        <v>34</v>
      </c>
      <c r="AF17" s="435">
        <v>30</v>
      </c>
      <c r="AQ17" s="677"/>
      <c r="AR17" s="349" t="s">
        <v>161</v>
      </c>
      <c r="AS17" s="349">
        <v>1005</v>
      </c>
      <c r="AT17" s="336">
        <v>34</v>
      </c>
      <c r="AU17" s="655"/>
      <c r="AV17" s="655"/>
      <c r="AW17" s="655"/>
      <c r="AX17" s="655"/>
      <c r="AY17" s="655"/>
      <c r="AZ17" s="655"/>
      <c r="BA17" s="655"/>
      <c r="BB17" s="655"/>
    </row>
    <row r="18" spans="1:54">
      <c r="A18" s="675"/>
      <c r="B18" s="346" t="s">
        <v>245</v>
      </c>
      <c r="C18" s="440">
        <f t="shared" si="0"/>
        <v>714</v>
      </c>
      <c r="D18" s="335">
        <v>1.2</v>
      </c>
      <c r="E18" s="343">
        <v>305</v>
      </c>
      <c r="F18" s="107">
        <f t="shared" si="1"/>
        <v>261324</v>
      </c>
      <c r="G18" s="624"/>
      <c r="H18" s="590"/>
      <c r="I18" s="590"/>
      <c r="J18" s="590"/>
      <c r="K18" s="582"/>
      <c r="L18" s="582"/>
      <c r="M18" s="344"/>
      <c r="N18" s="336">
        <v>49</v>
      </c>
      <c r="O18" s="345">
        <v>30</v>
      </c>
      <c r="P18" s="440">
        <v>1464</v>
      </c>
      <c r="R18" s="677"/>
      <c r="S18" s="436" t="s">
        <v>245</v>
      </c>
      <c r="T18" s="436">
        <f t="shared" si="3"/>
        <v>750</v>
      </c>
      <c r="U18" s="335">
        <v>1.2</v>
      </c>
      <c r="V18" s="433">
        <v>305</v>
      </c>
      <c r="W18" s="107">
        <f t="shared" si="2"/>
        <v>274500</v>
      </c>
      <c r="X18" s="668"/>
      <c r="Y18" s="549"/>
      <c r="Z18" s="549"/>
      <c r="AA18" s="549"/>
      <c r="AB18" s="601"/>
      <c r="AC18" s="601"/>
      <c r="AD18" s="434">
        <v>25</v>
      </c>
      <c r="AE18" s="336">
        <v>49</v>
      </c>
      <c r="AF18" s="435">
        <v>30</v>
      </c>
      <c r="AQ18" s="677"/>
      <c r="AR18" s="349" t="s">
        <v>245</v>
      </c>
      <c r="AS18" s="349">
        <v>1464</v>
      </c>
      <c r="AT18" s="336">
        <v>49</v>
      </c>
      <c r="AU18" s="655"/>
      <c r="AV18" s="655"/>
      <c r="AW18" s="655"/>
      <c r="AX18" s="655"/>
      <c r="AY18" s="655"/>
      <c r="AZ18" s="655"/>
      <c r="BA18" s="655"/>
      <c r="BB18" s="655"/>
    </row>
    <row r="19" spans="1:54">
      <c r="A19" s="675"/>
      <c r="B19" s="346" t="s">
        <v>150</v>
      </c>
      <c r="C19" s="440">
        <f t="shared" si="0"/>
        <v>455</v>
      </c>
      <c r="D19" s="335">
        <v>1.2</v>
      </c>
      <c r="E19" s="343">
        <v>305</v>
      </c>
      <c r="F19" s="107">
        <f t="shared" si="1"/>
        <v>166530</v>
      </c>
      <c r="G19" s="624"/>
      <c r="H19" s="590"/>
      <c r="I19" s="590"/>
      <c r="J19" s="590"/>
      <c r="K19" s="582"/>
      <c r="L19" s="582"/>
      <c r="M19" s="344"/>
      <c r="N19" s="336">
        <v>33</v>
      </c>
      <c r="O19" s="345">
        <v>30</v>
      </c>
      <c r="P19" s="440">
        <v>995</v>
      </c>
      <c r="R19" s="677"/>
      <c r="S19" s="436" t="s">
        <v>150</v>
      </c>
      <c r="T19" s="436">
        <f t="shared" si="3"/>
        <v>540</v>
      </c>
      <c r="U19" s="335">
        <v>1.2</v>
      </c>
      <c r="V19" s="433">
        <v>305</v>
      </c>
      <c r="W19" s="107">
        <f t="shared" si="2"/>
        <v>197640</v>
      </c>
      <c r="X19" s="668"/>
      <c r="Y19" s="549"/>
      <c r="Z19" s="549"/>
      <c r="AA19" s="549"/>
      <c r="AB19" s="601"/>
      <c r="AC19" s="601"/>
      <c r="AD19" s="434">
        <v>18</v>
      </c>
      <c r="AE19" s="336">
        <v>33</v>
      </c>
      <c r="AF19" s="435">
        <v>30</v>
      </c>
      <c r="AQ19" s="677"/>
      <c r="AR19" s="349" t="s">
        <v>150</v>
      </c>
      <c r="AS19" s="349">
        <v>995</v>
      </c>
      <c r="AT19" s="336">
        <v>33</v>
      </c>
      <c r="AU19" s="655"/>
      <c r="AV19" s="655"/>
      <c r="AW19" s="655"/>
      <c r="AX19" s="655"/>
      <c r="AY19" s="655"/>
      <c r="AZ19" s="655"/>
      <c r="BA19" s="655"/>
      <c r="BB19" s="655"/>
    </row>
    <row r="20" spans="1:54">
      <c r="A20" s="675"/>
      <c r="B20" s="346" t="s">
        <v>95</v>
      </c>
      <c r="C20" s="440">
        <f t="shared" si="0"/>
        <v>482</v>
      </c>
      <c r="D20" s="335">
        <v>1.2</v>
      </c>
      <c r="E20" s="343">
        <v>305</v>
      </c>
      <c r="F20" s="107">
        <f t="shared" si="1"/>
        <v>176412</v>
      </c>
      <c r="G20" s="624"/>
      <c r="H20" s="590"/>
      <c r="I20" s="590"/>
      <c r="J20" s="590"/>
      <c r="K20" s="582"/>
      <c r="L20" s="582"/>
      <c r="M20" s="344"/>
      <c r="N20" s="336">
        <v>33</v>
      </c>
      <c r="O20" s="345">
        <v>30</v>
      </c>
      <c r="P20" s="440">
        <v>992</v>
      </c>
      <c r="R20" s="677"/>
      <c r="S20" s="436" t="s">
        <v>95</v>
      </c>
      <c r="T20" s="436">
        <f t="shared" si="3"/>
        <v>510</v>
      </c>
      <c r="U20" s="335">
        <v>1.2</v>
      </c>
      <c r="V20" s="433">
        <v>305</v>
      </c>
      <c r="W20" s="107">
        <f t="shared" si="2"/>
        <v>186660</v>
      </c>
      <c r="X20" s="668"/>
      <c r="Y20" s="549"/>
      <c r="Z20" s="549"/>
      <c r="AA20" s="549"/>
      <c r="AB20" s="601"/>
      <c r="AC20" s="601"/>
      <c r="AD20" s="434">
        <v>17</v>
      </c>
      <c r="AE20" s="336">
        <v>33</v>
      </c>
      <c r="AF20" s="435">
        <v>30</v>
      </c>
      <c r="AQ20" s="677"/>
      <c r="AR20" s="349" t="s">
        <v>95</v>
      </c>
      <c r="AS20" s="349">
        <v>992</v>
      </c>
      <c r="AT20" s="336">
        <v>33</v>
      </c>
      <c r="AU20" s="655"/>
      <c r="AV20" s="655"/>
      <c r="AW20" s="655"/>
      <c r="AX20" s="655"/>
      <c r="AY20" s="655"/>
      <c r="AZ20" s="655"/>
      <c r="BA20" s="655"/>
      <c r="BB20" s="655"/>
    </row>
    <row r="21" spans="1:54">
      <c r="A21" s="675"/>
      <c r="B21" s="346" t="s">
        <v>302</v>
      </c>
      <c r="C21" s="440">
        <f t="shared" si="0"/>
        <v>403</v>
      </c>
      <c r="D21" s="335">
        <v>1.2</v>
      </c>
      <c r="E21" s="343">
        <v>305</v>
      </c>
      <c r="F21" s="107">
        <f t="shared" si="1"/>
        <v>147498</v>
      </c>
      <c r="G21" s="624"/>
      <c r="H21" s="590"/>
      <c r="I21" s="590"/>
      <c r="J21" s="590"/>
      <c r="K21" s="582"/>
      <c r="L21" s="582"/>
      <c r="M21" s="344"/>
      <c r="N21" s="336">
        <v>30</v>
      </c>
      <c r="O21" s="345">
        <v>30</v>
      </c>
      <c r="P21" s="440">
        <v>883</v>
      </c>
      <c r="R21" s="677"/>
      <c r="S21" s="436" t="s">
        <v>302</v>
      </c>
      <c r="T21" s="436">
        <f t="shared" si="3"/>
        <v>480</v>
      </c>
      <c r="U21" s="335">
        <v>1.2</v>
      </c>
      <c r="V21" s="433">
        <v>305</v>
      </c>
      <c r="W21" s="107">
        <f t="shared" si="2"/>
        <v>175680</v>
      </c>
      <c r="X21" s="668"/>
      <c r="Y21" s="549"/>
      <c r="Z21" s="549"/>
      <c r="AA21" s="549"/>
      <c r="AB21" s="601"/>
      <c r="AC21" s="601"/>
      <c r="AD21" s="434">
        <v>16</v>
      </c>
      <c r="AE21" s="336">
        <v>30</v>
      </c>
      <c r="AF21" s="435">
        <v>30</v>
      </c>
      <c r="AQ21" s="677"/>
      <c r="AR21" s="349" t="s">
        <v>302</v>
      </c>
      <c r="AS21" s="349">
        <v>883</v>
      </c>
      <c r="AT21" s="336">
        <v>30</v>
      </c>
      <c r="AU21" s="655"/>
      <c r="AV21" s="655"/>
      <c r="AW21" s="655"/>
      <c r="AX21" s="655"/>
      <c r="AY21" s="655"/>
      <c r="AZ21" s="655"/>
      <c r="BA21" s="655"/>
      <c r="BB21" s="655"/>
    </row>
    <row r="22" spans="1:54">
      <c r="A22" s="675"/>
      <c r="B22" s="346" t="s">
        <v>307</v>
      </c>
      <c r="C22" s="440">
        <f t="shared" si="0"/>
        <v>459</v>
      </c>
      <c r="D22" s="335">
        <v>1.2</v>
      </c>
      <c r="E22" s="343">
        <v>305</v>
      </c>
      <c r="F22" s="107">
        <f t="shared" si="1"/>
        <v>167994</v>
      </c>
      <c r="G22" s="624"/>
      <c r="H22" s="590"/>
      <c r="I22" s="590"/>
      <c r="J22" s="590"/>
      <c r="K22" s="582"/>
      <c r="L22" s="582"/>
      <c r="M22" s="344"/>
      <c r="N22" s="336">
        <v>31</v>
      </c>
      <c r="O22" s="345">
        <v>30</v>
      </c>
      <c r="P22" s="440">
        <v>939</v>
      </c>
      <c r="R22" s="677"/>
      <c r="S22" s="436" t="s">
        <v>307</v>
      </c>
      <c r="T22" s="436">
        <f t="shared" si="3"/>
        <v>480</v>
      </c>
      <c r="U22" s="335">
        <v>1.2</v>
      </c>
      <c r="V22" s="433">
        <v>305</v>
      </c>
      <c r="W22" s="107">
        <f t="shared" si="2"/>
        <v>175680</v>
      </c>
      <c r="X22" s="668"/>
      <c r="Y22" s="549"/>
      <c r="Z22" s="549"/>
      <c r="AA22" s="549"/>
      <c r="AB22" s="601"/>
      <c r="AC22" s="601"/>
      <c r="AD22" s="434">
        <v>16</v>
      </c>
      <c r="AE22" s="336">
        <v>31</v>
      </c>
      <c r="AF22" s="435">
        <v>30</v>
      </c>
      <c r="AQ22" s="677"/>
      <c r="AR22" s="349" t="s">
        <v>307</v>
      </c>
      <c r="AS22" s="349">
        <v>939</v>
      </c>
      <c r="AT22" s="336">
        <v>31</v>
      </c>
      <c r="AU22" s="655"/>
      <c r="AV22" s="655"/>
      <c r="AW22" s="655"/>
      <c r="AX22" s="655"/>
      <c r="AY22" s="655"/>
      <c r="AZ22" s="655"/>
      <c r="BA22" s="655"/>
      <c r="BB22" s="655"/>
    </row>
    <row r="23" spans="1:54">
      <c r="A23" s="675"/>
      <c r="B23" s="346" t="s">
        <v>114</v>
      </c>
      <c r="C23" s="440">
        <f t="shared" si="0"/>
        <v>373</v>
      </c>
      <c r="D23" s="335">
        <v>1.2</v>
      </c>
      <c r="E23" s="343">
        <v>305</v>
      </c>
      <c r="F23" s="107">
        <f t="shared" si="1"/>
        <v>136518</v>
      </c>
      <c r="G23" s="624"/>
      <c r="H23" s="590"/>
      <c r="I23" s="590"/>
      <c r="J23" s="590"/>
      <c r="K23" s="582"/>
      <c r="L23" s="582"/>
      <c r="M23" s="344"/>
      <c r="N23" s="336">
        <v>30</v>
      </c>
      <c r="O23" s="345">
        <v>50</v>
      </c>
      <c r="P23" s="440">
        <v>883</v>
      </c>
      <c r="R23" s="677"/>
      <c r="S23" s="436" t="s">
        <v>114</v>
      </c>
      <c r="T23" s="436">
        <f t="shared" si="3"/>
        <v>510</v>
      </c>
      <c r="U23" s="335">
        <v>1.2</v>
      </c>
      <c r="V23" s="433">
        <v>305</v>
      </c>
      <c r="W23" s="107">
        <f t="shared" si="2"/>
        <v>186660</v>
      </c>
      <c r="X23" s="668"/>
      <c r="Y23" s="549"/>
      <c r="Z23" s="549"/>
      <c r="AA23" s="549"/>
      <c r="AB23" s="601"/>
      <c r="AC23" s="601"/>
      <c r="AD23" s="434">
        <v>17</v>
      </c>
      <c r="AE23" s="336">
        <v>30</v>
      </c>
      <c r="AF23" s="435">
        <v>50</v>
      </c>
      <c r="AQ23" s="677"/>
      <c r="AR23" s="349" t="s">
        <v>114</v>
      </c>
      <c r="AS23" s="349">
        <v>883</v>
      </c>
      <c r="AT23" s="336">
        <v>30</v>
      </c>
      <c r="AU23" s="655"/>
      <c r="AV23" s="655"/>
      <c r="AW23" s="655"/>
      <c r="AX23" s="655"/>
      <c r="AY23" s="655"/>
      <c r="AZ23" s="655"/>
      <c r="BA23" s="655"/>
      <c r="BB23" s="655"/>
    </row>
    <row r="24" spans="1:54">
      <c r="A24" s="675"/>
      <c r="B24" s="346" t="s">
        <v>98</v>
      </c>
      <c r="C24" s="440">
        <f t="shared" si="0"/>
        <v>358</v>
      </c>
      <c r="D24" s="335">
        <v>1.2</v>
      </c>
      <c r="E24" s="343">
        <v>305</v>
      </c>
      <c r="F24" s="107">
        <f t="shared" si="1"/>
        <v>131027.99999999999</v>
      </c>
      <c r="G24" s="624"/>
      <c r="H24" s="590"/>
      <c r="I24" s="590"/>
      <c r="J24" s="590"/>
      <c r="K24" s="582"/>
      <c r="L24" s="582"/>
      <c r="M24" s="344"/>
      <c r="N24" s="336">
        <v>27</v>
      </c>
      <c r="O24" s="345">
        <v>50</v>
      </c>
      <c r="P24" s="440">
        <v>808</v>
      </c>
      <c r="R24" s="677"/>
      <c r="S24" s="436" t="s">
        <v>98</v>
      </c>
      <c r="T24" s="436">
        <f t="shared" si="3"/>
        <v>450</v>
      </c>
      <c r="U24" s="335">
        <v>1.2</v>
      </c>
      <c r="V24" s="433">
        <v>305</v>
      </c>
      <c r="W24" s="107">
        <f t="shared" si="2"/>
        <v>164700</v>
      </c>
      <c r="X24" s="668"/>
      <c r="Y24" s="549"/>
      <c r="Z24" s="549"/>
      <c r="AA24" s="549"/>
      <c r="AB24" s="601"/>
      <c r="AC24" s="601"/>
      <c r="AD24" s="434">
        <v>15</v>
      </c>
      <c r="AE24" s="336">
        <v>27</v>
      </c>
      <c r="AF24" s="435">
        <v>50</v>
      </c>
      <c r="AQ24" s="677"/>
      <c r="AR24" s="349" t="s">
        <v>98</v>
      </c>
      <c r="AS24" s="349">
        <v>808</v>
      </c>
      <c r="AT24" s="336">
        <v>27</v>
      </c>
      <c r="AU24" s="655"/>
      <c r="AV24" s="655"/>
      <c r="AW24" s="655"/>
      <c r="AX24" s="655"/>
      <c r="AY24" s="655"/>
      <c r="AZ24" s="655"/>
      <c r="BA24" s="655"/>
      <c r="BB24" s="655"/>
    </row>
    <row r="25" spans="1:54">
      <c r="A25" s="675"/>
      <c r="B25" s="346" t="s">
        <v>327</v>
      </c>
      <c r="C25" s="440">
        <f t="shared" si="0"/>
        <v>544</v>
      </c>
      <c r="D25" s="335">
        <v>1.2</v>
      </c>
      <c r="E25" s="343">
        <v>305</v>
      </c>
      <c r="F25" s="107">
        <f t="shared" si="1"/>
        <v>199104</v>
      </c>
      <c r="G25" s="624"/>
      <c r="H25" s="590"/>
      <c r="I25" s="590"/>
      <c r="J25" s="590"/>
      <c r="K25" s="582"/>
      <c r="L25" s="582"/>
      <c r="M25" s="344"/>
      <c r="N25" s="336">
        <v>38</v>
      </c>
      <c r="O25" s="345">
        <v>50</v>
      </c>
      <c r="P25" s="440">
        <v>1144</v>
      </c>
      <c r="R25" s="678"/>
      <c r="S25" s="436" t="s">
        <v>327</v>
      </c>
      <c r="T25" s="436">
        <f t="shared" si="3"/>
        <v>600</v>
      </c>
      <c r="U25" s="335">
        <v>1.2</v>
      </c>
      <c r="V25" s="433">
        <v>305</v>
      </c>
      <c r="W25" s="107">
        <f t="shared" si="2"/>
        <v>219600</v>
      </c>
      <c r="X25" s="669"/>
      <c r="Y25" s="541"/>
      <c r="Z25" s="541"/>
      <c r="AA25" s="541"/>
      <c r="AB25" s="599"/>
      <c r="AC25" s="599"/>
      <c r="AD25" s="434">
        <v>20</v>
      </c>
      <c r="AE25" s="336">
        <v>38</v>
      </c>
      <c r="AF25" s="435">
        <v>50</v>
      </c>
      <c r="AQ25" s="678"/>
      <c r="AR25" s="349" t="s">
        <v>327</v>
      </c>
      <c r="AS25" s="349">
        <v>1144</v>
      </c>
      <c r="AT25" s="336">
        <v>38</v>
      </c>
      <c r="AU25" s="655"/>
      <c r="AV25" s="655"/>
      <c r="AW25" s="655"/>
      <c r="AX25" s="655"/>
      <c r="AY25" s="655"/>
      <c r="AZ25" s="655"/>
      <c r="BA25" s="655"/>
      <c r="BB25" s="655"/>
    </row>
    <row r="26" spans="1:54">
      <c r="A26" s="226"/>
      <c r="B26" s="1"/>
      <c r="C26" s="2">
        <f>SUM(C3:C25)</f>
        <v>14105</v>
      </c>
      <c r="D26" s="1"/>
      <c r="E26" s="1"/>
      <c r="F26" s="215">
        <f>SUM(F3:F25)</f>
        <v>4978200.8499999996</v>
      </c>
      <c r="G26" s="342">
        <f>SUM(G3:G25)</f>
        <v>13590</v>
      </c>
      <c r="H26" s="215">
        <f>SUM(H3:H25)</f>
        <v>25495</v>
      </c>
      <c r="I26" s="342"/>
      <c r="J26" s="342">
        <f>SUM(J3:J25)</f>
        <v>5413305.6895939065</v>
      </c>
      <c r="K26" s="215">
        <f>SUM(K3:K25)</f>
        <v>10391506.539593907</v>
      </c>
      <c r="L26" s="1"/>
      <c r="M26" s="27"/>
      <c r="N26" s="319">
        <f>SUM(N3:N25)</f>
        <v>850</v>
      </c>
      <c r="O26" s="1"/>
      <c r="P26" s="2">
        <f>SUM(P3:P25)</f>
        <v>25495</v>
      </c>
      <c r="R26" s="226"/>
      <c r="S26" s="1"/>
      <c r="T26" s="2">
        <f>SUM(T3:T25)</f>
        <v>11390</v>
      </c>
      <c r="U26" s="1"/>
      <c r="V26" s="1"/>
      <c r="W26" s="437">
        <f>SUM(W3:W25)</f>
        <v>4058147</v>
      </c>
      <c r="X26" s="432">
        <f>SUM(X3:X25)</f>
        <v>13590</v>
      </c>
      <c r="Y26" s="437">
        <f>SUM(Y3:Y25)</f>
        <v>25495</v>
      </c>
      <c r="Z26" s="432"/>
      <c r="AA26" s="432">
        <f>SUM(AA3:AA25)</f>
        <v>4477269.6384565514</v>
      </c>
      <c r="AB26" s="437">
        <f>SUM(AB3:AB25)</f>
        <v>8535416.6384565514</v>
      </c>
      <c r="AC26" s="1"/>
      <c r="AD26" s="437">
        <f>SUM(AD3:AD25)</f>
        <v>380</v>
      </c>
      <c r="AE26" s="319">
        <f>SUM(AE3:AE25)</f>
        <v>850</v>
      </c>
      <c r="AF26" s="1"/>
      <c r="AQ26" s="226"/>
      <c r="AR26" s="1"/>
      <c r="AS26" s="2">
        <f>SUM(AS3:AS25)</f>
        <v>25495</v>
      </c>
      <c r="AT26" s="319">
        <f>SUM(AT3:AT25)</f>
        <v>850</v>
      </c>
      <c r="AU26" s="655"/>
      <c r="AV26" s="655"/>
      <c r="AW26" s="655"/>
      <c r="AX26" s="655"/>
      <c r="AY26" s="655"/>
      <c r="AZ26" s="655"/>
      <c r="BA26" s="655"/>
      <c r="BB26" s="655"/>
    </row>
    <row r="27" spans="1:54">
      <c r="A27" s="1"/>
      <c r="B27" s="1"/>
      <c r="C27" s="1"/>
      <c r="D27" s="1"/>
      <c r="E27" s="1"/>
      <c r="F27" s="9" t="s">
        <v>233</v>
      </c>
      <c r="G27" s="9"/>
      <c r="H27" s="27">
        <f>K26+K27</f>
        <v>10495421.604989845</v>
      </c>
      <c r="I27" s="9" t="s">
        <v>232</v>
      </c>
      <c r="J27" s="9"/>
      <c r="K27" s="2">
        <f>K26*1%</f>
        <v>103915.06539593908</v>
      </c>
      <c r="L27" s="1"/>
      <c r="M27" s="324"/>
      <c r="N27" s="1"/>
      <c r="O27" s="1"/>
      <c r="R27" s="1"/>
      <c r="S27" s="1"/>
      <c r="T27" s="1"/>
      <c r="U27" s="1"/>
      <c r="V27" s="1"/>
      <c r="W27" s="9" t="s">
        <v>233</v>
      </c>
      <c r="X27" s="9"/>
      <c r="Y27" s="27">
        <f>AB26+AB27</f>
        <v>8620770.8048411161</v>
      </c>
      <c r="Z27" s="9" t="s">
        <v>232</v>
      </c>
      <c r="AA27" s="9"/>
      <c r="AB27" s="2">
        <f>AB26*1%</f>
        <v>85354.166384565513</v>
      </c>
      <c r="AC27" s="1"/>
      <c r="AD27" s="324"/>
      <c r="AE27" s="1"/>
      <c r="AF27" s="1"/>
      <c r="AQ27" s="1"/>
      <c r="AR27" s="1"/>
      <c r="AS27" s="1"/>
    </row>
  </sheetData>
  <mergeCells count="58">
    <mergeCell ref="AB3:AB14"/>
    <mergeCell ref="AC3:AC14"/>
    <mergeCell ref="R1:AC1"/>
    <mergeCell ref="AD1:AE1"/>
    <mergeCell ref="R3:R14"/>
    <mergeCell ref="X3:X14"/>
    <mergeCell ref="Y3:Y14"/>
    <mergeCell ref="Z3:Z14"/>
    <mergeCell ref="AA3:AA14"/>
    <mergeCell ref="A1:N1"/>
    <mergeCell ref="A3:A14"/>
    <mergeCell ref="A15:A25"/>
    <mergeCell ref="G3:G14"/>
    <mergeCell ref="G15:G25"/>
    <mergeCell ref="H15:H25"/>
    <mergeCell ref="L3:L14"/>
    <mergeCell ref="K3:K14"/>
    <mergeCell ref="J3:J14"/>
    <mergeCell ref="I3:I14"/>
    <mergeCell ref="H3:H14"/>
    <mergeCell ref="AU15:BB15"/>
    <mergeCell ref="I15:I25"/>
    <mergeCell ref="J15:J25"/>
    <mergeCell ref="K15:K25"/>
    <mergeCell ref="L15:L25"/>
    <mergeCell ref="R15:R25"/>
    <mergeCell ref="X15:X25"/>
    <mergeCell ref="Y15:Y25"/>
    <mergeCell ref="Z15:Z25"/>
    <mergeCell ref="AA15:AA25"/>
    <mergeCell ref="AB15:AB25"/>
    <mergeCell ref="AC15:AC25"/>
    <mergeCell ref="AU10:BB10"/>
    <mergeCell ref="AU11:BB11"/>
    <mergeCell ref="AU12:BB12"/>
    <mergeCell ref="AU13:BB13"/>
    <mergeCell ref="AU14:BB14"/>
    <mergeCell ref="AU2:BB2"/>
    <mergeCell ref="AU3:BB3"/>
    <mergeCell ref="AU4:BB4"/>
    <mergeCell ref="AU5:BB5"/>
    <mergeCell ref="AU6:BB6"/>
    <mergeCell ref="AU26:BB26"/>
    <mergeCell ref="AQ3:AQ14"/>
    <mergeCell ref="AQ15:AQ25"/>
    <mergeCell ref="AU21:BB21"/>
    <mergeCell ref="AU22:BB22"/>
    <mergeCell ref="AU23:BB23"/>
    <mergeCell ref="AU24:BB24"/>
    <mergeCell ref="AU25:BB25"/>
    <mergeCell ref="AU16:BB16"/>
    <mergeCell ref="AU17:BB17"/>
    <mergeCell ref="AU18:BB18"/>
    <mergeCell ref="AU19:BB19"/>
    <mergeCell ref="AU20:BB20"/>
    <mergeCell ref="AU7:BB7"/>
    <mergeCell ref="AU8:BB8"/>
    <mergeCell ref="AU9:BB9"/>
  </mergeCells>
  <pageMargins left="0.39" right="0.14000000000000001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M1" workbookViewId="0">
      <selection activeCell="S12" sqref="S12"/>
    </sheetView>
  </sheetViews>
  <sheetFormatPr defaultRowHeight="15"/>
  <cols>
    <col min="2" max="2" width="9.85546875" customWidth="1"/>
    <col min="5" max="5" width="7" customWidth="1"/>
    <col min="6" max="6" width="12" customWidth="1"/>
    <col min="7" max="7" width="9.42578125" customWidth="1"/>
    <col min="8" max="8" width="9" customWidth="1"/>
    <col min="9" max="9" width="11.42578125" customWidth="1"/>
  </cols>
  <sheetData>
    <row r="1" spans="1:30" ht="28.5">
      <c r="A1" s="605" t="s">
        <v>336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159">
        <v>45294</v>
      </c>
      <c r="Q1" s="605" t="s">
        <v>320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</row>
    <row r="2" spans="1:30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321</v>
      </c>
      <c r="N2" s="105" t="s">
        <v>125</v>
      </c>
      <c r="O2" s="277" t="s">
        <v>333</v>
      </c>
      <c r="Q2" s="100" t="s">
        <v>0</v>
      </c>
      <c r="R2" s="100" t="s">
        <v>140</v>
      </c>
      <c r="S2" s="101" t="s">
        <v>123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321</v>
      </c>
      <c r="AD2" s="105" t="s">
        <v>125</v>
      </c>
    </row>
    <row r="3" spans="1:30">
      <c r="A3" s="682" t="s">
        <v>339</v>
      </c>
      <c r="B3" s="354" t="s">
        <v>94</v>
      </c>
      <c r="C3" s="354">
        <f>O3-S3</f>
        <v>993</v>
      </c>
      <c r="D3" s="365">
        <v>1.1000000000000001</v>
      </c>
      <c r="E3" s="352">
        <v>293</v>
      </c>
      <c r="F3" s="107">
        <f>C3*D3*E3</f>
        <v>320043.90000000008</v>
      </c>
      <c r="G3" s="675">
        <v>1994</v>
      </c>
      <c r="H3" s="624">
        <v>4964</v>
      </c>
      <c r="I3" s="590">
        <v>720</v>
      </c>
      <c r="J3" s="590">
        <f>G3/H3*SUM(C3:C6)*I3</f>
        <v>833527.3489121676</v>
      </c>
      <c r="K3" s="582">
        <f>J3+SUM(F3:F6)</f>
        <v>1779067.6489121676</v>
      </c>
      <c r="L3" s="582">
        <f>K3/SUM(C3:C6)</f>
        <v>617.30313980297285</v>
      </c>
      <c r="M3" s="353">
        <f>N3-AC3</f>
        <v>33</v>
      </c>
      <c r="N3" s="336">
        <v>66</v>
      </c>
      <c r="O3" s="373">
        <v>1983</v>
      </c>
      <c r="Q3" s="682" t="s">
        <v>339</v>
      </c>
      <c r="R3" s="373" t="s">
        <v>94</v>
      </c>
      <c r="S3" s="373">
        <v>990</v>
      </c>
      <c r="T3" s="365">
        <v>1.1000000000000001</v>
      </c>
      <c r="U3" s="368">
        <v>293</v>
      </c>
      <c r="V3" s="107">
        <f>S3*T3*U3</f>
        <v>319077</v>
      </c>
      <c r="W3" s="675">
        <v>1994</v>
      </c>
      <c r="X3" s="624">
        <v>4964</v>
      </c>
      <c r="Y3" s="590">
        <v>720</v>
      </c>
      <c r="Z3" s="590">
        <f>W3/X3*SUM(S3:S6)*Y3</f>
        <v>602152.6510878324</v>
      </c>
      <c r="AA3" s="582">
        <f>Z3+SUM(V3:V6)</f>
        <v>1285487.2510878323</v>
      </c>
      <c r="AB3" s="582">
        <f>AA3/SUM(S3:S6)</f>
        <v>617.42903510462645</v>
      </c>
      <c r="AC3" s="370">
        <v>33</v>
      </c>
      <c r="AD3" s="336">
        <v>66</v>
      </c>
    </row>
    <row r="4" spans="1:30">
      <c r="A4" s="683"/>
      <c r="B4" s="354" t="s">
        <v>340</v>
      </c>
      <c r="C4" s="373">
        <f t="shared" ref="C4:C23" si="0">O4-S4</f>
        <v>810</v>
      </c>
      <c r="D4" s="365">
        <v>1.1000000000000001</v>
      </c>
      <c r="E4" s="352">
        <v>293</v>
      </c>
      <c r="F4" s="107">
        <f t="shared" ref="F4:F23" si="1">C4*D4*E4</f>
        <v>261063.00000000003</v>
      </c>
      <c r="G4" s="675"/>
      <c r="H4" s="624"/>
      <c r="I4" s="590"/>
      <c r="J4" s="590"/>
      <c r="K4" s="582"/>
      <c r="L4" s="582"/>
      <c r="M4" s="376">
        <f t="shared" ref="M4:M23" si="2">N4-AC4</f>
        <v>27</v>
      </c>
      <c r="N4" s="336">
        <v>39</v>
      </c>
      <c r="O4" s="373">
        <v>1160</v>
      </c>
      <c r="Q4" s="683"/>
      <c r="R4" s="373" t="s">
        <v>340</v>
      </c>
      <c r="S4" s="373">
        <v>350</v>
      </c>
      <c r="T4" s="365">
        <v>1.1000000000000001</v>
      </c>
      <c r="U4" s="368">
        <v>293</v>
      </c>
      <c r="V4" s="107">
        <f t="shared" ref="V4:V23" si="3">S4*T4*U4</f>
        <v>112805.00000000001</v>
      </c>
      <c r="W4" s="675"/>
      <c r="X4" s="624"/>
      <c r="Y4" s="590"/>
      <c r="Z4" s="590"/>
      <c r="AA4" s="582"/>
      <c r="AB4" s="582"/>
      <c r="AC4" s="370">
        <v>12</v>
      </c>
      <c r="AD4" s="336">
        <v>39</v>
      </c>
    </row>
    <row r="5" spans="1:30">
      <c r="A5" s="683"/>
      <c r="B5" s="354" t="s">
        <v>95</v>
      </c>
      <c r="C5" s="373">
        <f t="shared" si="0"/>
        <v>569</v>
      </c>
      <c r="D5" s="365">
        <v>1.2</v>
      </c>
      <c r="E5" s="352">
        <v>293</v>
      </c>
      <c r="F5" s="107">
        <f t="shared" si="1"/>
        <v>200060.4</v>
      </c>
      <c r="G5" s="675"/>
      <c r="H5" s="624"/>
      <c r="I5" s="590"/>
      <c r="J5" s="590"/>
      <c r="K5" s="582"/>
      <c r="L5" s="582"/>
      <c r="M5" s="376">
        <f t="shared" si="2"/>
        <v>19</v>
      </c>
      <c r="N5" s="336">
        <v>33</v>
      </c>
      <c r="O5" s="373">
        <v>989</v>
      </c>
      <c r="Q5" s="683"/>
      <c r="R5" s="373" t="s">
        <v>95</v>
      </c>
      <c r="S5" s="373">
        <v>420</v>
      </c>
      <c r="T5" s="365">
        <v>1.2</v>
      </c>
      <c r="U5" s="368">
        <v>293</v>
      </c>
      <c r="V5" s="107">
        <f t="shared" si="3"/>
        <v>147672</v>
      </c>
      <c r="W5" s="675"/>
      <c r="X5" s="624"/>
      <c r="Y5" s="590"/>
      <c r="Z5" s="590"/>
      <c r="AA5" s="582"/>
      <c r="AB5" s="582"/>
      <c r="AC5" s="370">
        <v>14</v>
      </c>
      <c r="AD5" s="336">
        <v>33</v>
      </c>
    </row>
    <row r="6" spans="1:30">
      <c r="A6" s="684"/>
      <c r="B6" s="354" t="s">
        <v>96</v>
      </c>
      <c r="C6" s="373">
        <f t="shared" si="0"/>
        <v>510</v>
      </c>
      <c r="D6" s="365">
        <v>1.1000000000000001</v>
      </c>
      <c r="E6" s="352">
        <v>293</v>
      </c>
      <c r="F6" s="107">
        <f t="shared" si="1"/>
        <v>164373</v>
      </c>
      <c r="G6" s="675"/>
      <c r="H6" s="624"/>
      <c r="I6" s="590"/>
      <c r="J6" s="590"/>
      <c r="K6" s="582"/>
      <c r="L6" s="582"/>
      <c r="M6" s="376">
        <f t="shared" si="2"/>
        <v>17</v>
      </c>
      <c r="N6" s="336">
        <v>28</v>
      </c>
      <c r="O6" s="373">
        <v>832</v>
      </c>
      <c r="Q6" s="684"/>
      <c r="R6" s="373" t="s">
        <v>96</v>
      </c>
      <c r="S6" s="373">
        <v>322</v>
      </c>
      <c r="T6" s="365">
        <v>1.1000000000000001</v>
      </c>
      <c r="U6" s="368">
        <v>293</v>
      </c>
      <c r="V6" s="107">
        <f t="shared" si="3"/>
        <v>103780.60000000002</v>
      </c>
      <c r="W6" s="675"/>
      <c r="X6" s="624"/>
      <c r="Y6" s="590"/>
      <c r="Z6" s="590"/>
      <c r="AA6" s="582"/>
      <c r="AB6" s="582"/>
      <c r="AC6" s="370">
        <v>11</v>
      </c>
      <c r="AD6" s="336">
        <v>28</v>
      </c>
    </row>
    <row r="7" spans="1:30">
      <c r="A7" s="675">
        <v>324</v>
      </c>
      <c r="B7" s="354" t="s">
        <v>101</v>
      </c>
      <c r="C7" s="373">
        <f t="shared" si="0"/>
        <v>510</v>
      </c>
      <c r="D7" s="365">
        <v>1.25</v>
      </c>
      <c r="E7" s="352">
        <v>293</v>
      </c>
      <c r="F7" s="107">
        <f t="shared" si="1"/>
        <v>186787.5</v>
      </c>
      <c r="G7" s="675">
        <v>1750</v>
      </c>
      <c r="H7" s="624">
        <v>2760</v>
      </c>
      <c r="I7" s="590">
        <v>720</v>
      </c>
      <c r="J7" s="590">
        <f>G7/H7*SUM(C7:C10)*I7</f>
        <v>630000</v>
      </c>
      <c r="K7" s="582">
        <f>J7+SUM(F7:F10)</f>
        <v>1135425</v>
      </c>
      <c r="L7" s="582">
        <f>K7/SUM(C7:C10)</f>
        <v>822.77173913043475</v>
      </c>
      <c r="M7" s="376">
        <f t="shared" si="2"/>
        <v>17</v>
      </c>
      <c r="N7" s="336">
        <v>33</v>
      </c>
      <c r="O7" s="373">
        <v>990</v>
      </c>
      <c r="Q7" s="675">
        <v>324</v>
      </c>
      <c r="R7" s="373" t="s">
        <v>101</v>
      </c>
      <c r="S7" s="373">
        <v>480</v>
      </c>
      <c r="T7" s="365">
        <v>1.25</v>
      </c>
      <c r="U7" s="368">
        <v>293</v>
      </c>
      <c r="V7" s="107">
        <f t="shared" si="3"/>
        <v>175800</v>
      </c>
      <c r="W7" s="675">
        <v>1750</v>
      </c>
      <c r="X7" s="624">
        <v>2760</v>
      </c>
      <c r="Y7" s="590">
        <v>720</v>
      </c>
      <c r="Z7" s="590">
        <f>W7/X7*SUM(S7:S10)*Y7</f>
        <v>630000</v>
      </c>
      <c r="AA7" s="582">
        <f>Z7+SUM(V7:V10)</f>
        <v>1135425</v>
      </c>
      <c r="AB7" s="582">
        <f>AA7/SUM(S7:S10)</f>
        <v>822.77173913043475</v>
      </c>
      <c r="AC7" s="370">
        <v>16</v>
      </c>
      <c r="AD7" s="336">
        <v>33</v>
      </c>
    </row>
    <row r="8" spans="1:30">
      <c r="A8" s="675"/>
      <c r="B8" s="354" t="s">
        <v>161</v>
      </c>
      <c r="C8" s="373">
        <f t="shared" si="0"/>
        <v>360</v>
      </c>
      <c r="D8" s="365">
        <v>1.25</v>
      </c>
      <c r="E8" s="352">
        <v>293</v>
      </c>
      <c r="F8" s="107">
        <f t="shared" si="1"/>
        <v>131850</v>
      </c>
      <c r="G8" s="675"/>
      <c r="H8" s="624"/>
      <c r="I8" s="590"/>
      <c r="J8" s="590"/>
      <c r="K8" s="582"/>
      <c r="L8" s="582"/>
      <c r="M8" s="376">
        <f t="shared" si="2"/>
        <v>12</v>
      </c>
      <c r="N8" s="336">
        <v>23</v>
      </c>
      <c r="O8" s="373">
        <v>690</v>
      </c>
      <c r="Q8" s="675"/>
      <c r="R8" s="373" t="s">
        <v>161</v>
      </c>
      <c r="S8" s="373">
        <v>330</v>
      </c>
      <c r="T8" s="365">
        <v>1.25</v>
      </c>
      <c r="U8" s="368">
        <v>293</v>
      </c>
      <c r="V8" s="107">
        <f t="shared" si="3"/>
        <v>120862.5</v>
      </c>
      <c r="W8" s="675"/>
      <c r="X8" s="624"/>
      <c r="Y8" s="590"/>
      <c r="Z8" s="590"/>
      <c r="AA8" s="582"/>
      <c r="AB8" s="582"/>
      <c r="AC8" s="370">
        <v>11</v>
      </c>
      <c r="AD8" s="336">
        <v>23</v>
      </c>
    </row>
    <row r="9" spans="1:30">
      <c r="A9" s="675"/>
      <c r="B9" s="354" t="s">
        <v>150</v>
      </c>
      <c r="C9" s="373">
        <f t="shared" si="0"/>
        <v>270</v>
      </c>
      <c r="D9" s="365">
        <v>1.25</v>
      </c>
      <c r="E9" s="352">
        <v>293</v>
      </c>
      <c r="F9" s="107">
        <f t="shared" si="1"/>
        <v>98887.5</v>
      </c>
      <c r="G9" s="675"/>
      <c r="H9" s="624"/>
      <c r="I9" s="590"/>
      <c r="J9" s="590"/>
      <c r="K9" s="582"/>
      <c r="L9" s="582"/>
      <c r="M9" s="376">
        <f t="shared" si="2"/>
        <v>10</v>
      </c>
      <c r="N9" s="336">
        <v>19</v>
      </c>
      <c r="O9" s="373">
        <v>570</v>
      </c>
      <c r="Q9" s="675"/>
      <c r="R9" s="373" t="s">
        <v>150</v>
      </c>
      <c r="S9" s="373">
        <v>300</v>
      </c>
      <c r="T9" s="365">
        <v>1.25</v>
      </c>
      <c r="U9" s="368">
        <v>293</v>
      </c>
      <c r="V9" s="107">
        <f t="shared" si="3"/>
        <v>109875</v>
      </c>
      <c r="W9" s="675"/>
      <c r="X9" s="624"/>
      <c r="Y9" s="590"/>
      <c r="Z9" s="590"/>
      <c r="AA9" s="582"/>
      <c r="AB9" s="582"/>
      <c r="AC9" s="370">
        <v>9</v>
      </c>
      <c r="AD9" s="336">
        <v>19</v>
      </c>
    </row>
    <row r="10" spans="1:30">
      <c r="A10" s="675"/>
      <c r="B10" s="362" t="s">
        <v>95</v>
      </c>
      <c r="C10" s="373">
        <f t="shared" si="0"/>
        <v>240</v>
      </c>
      <c r="D10" s="365">
        <v>1.25</v>
      </c>
      <c r="E10" s="352">
        <v>293</v>
      </c>
      <c r="F10" s="107">
        <f t="shared" si="1"/>
        <v>87900</v>
      </c>
      <c r="G10" s="675"/>
      <c r="H10" s="624"/>
      <c r="I10" s="590"/>
      <c r="J10" s="590"/>
      <c r="K10" s="582"/>
      <c r="L10" s="582"/>
      <c r="M10" s="376">
        <f t="shared" si="2"/>
        <v>9</v>
      </c>
      <c r="N10" s="336">
        <v>17</v>
      </c>
      <c r="O10" s="374">
        <v>510</v>
      </c>
      <c r="Q10" s="675"/>
      <c r="R10" s="374" t="s">
        <v>95</v>
      </c>
      <c r="S10" s="373">
        <v>270</v>
      </c>
      <c r="T10" s="365">
        <v>1.25</v>
      </c>
      <c r="U10" s="368">
        <v>293</v>
      </c>
      <c r="V10" s="107">
        <f t="shared" si="3"/>
        <v>98887.5</v>
      </c>
      <c r="W10" s="675"/>
      <c r="X10" s="624"/>
      <c r="Y10" s="590"/>
      <c r="Z10" s="590"/>
      <c r="AA10" s="582"/>
      <c r="AB10" s="582"/>
      <c r="AC10" s="370">
        <v>8</v>
      </c>
      <c r="AD10" s="336">
        <v>17</v>
      </c>
    </row>
    <row r="11" spans="1:30">
      <c r="A11" s="685" t="s">
        <v>147</v>
      </c>
      <c r="B11" s="362" t="s">
        <v>272</v>
      </c>
      <c r="C11" s="373">
        <f t="shared" si="0"/>
        <v>433</v>
      </c>
      <c r="D11" s="361">
        <v>2.65</v>
      </c>
      <c r="E11" s="352">
        <v>293</v>
      </c>
      <c r="F11" s="107">
        <f t="shared" si="1"/>
        <v>336202.85000000003</v>
      </c>
      <c r="G11" s="688">
        <v>1241</v>
      </c>
      <c r="H11" s="624">
        <v>1487</v>
      </c>
      <c r="I11" s="590">
        <v>720</v>
      </c>
      <c r="J11" s="590">
        <f>G11/H11*SUM(C11:C13)*I11</f>
        <v>532987.38399462006</v>
      </c>
      <c r="K11" s="582">
        <f>J11+SUM(F11:F13)</f>
        <v>1192266.6839946201</v>
      </c>
      <c r="L11" s="582">
        <f>K11/SUM(C11:C13)</f>
        <v>1344.1563517413981</v>
      </c>
      <c r="M11" s="376">
        <f t="shared" si="2"/>
        <v>15</v>
      </c>
      <c r="N11" s="336">
        <v>24</v>
      </c>
      <c r="O11" s="374">
        <v>703</v>
      </c>
      <c r="Q11" s="685" t="s">
        <v>147</v>
      </c>
      <c r="R11" s="374" t="s">
        <v>272</v>
      </c>
      <c r="S11" s="401">
        <v>270</v>
      </c>
      <c r="T11" s="361">
        <v>2.65</v>
      </c>
      <c r="U11" s="368">
        <v>293</v>
      </c>
      <c r="V11" s="107">
        <f t="shared" si="3"/>
        <v>209641.5</v>
      </c>
      <c r="W11" s="688">
        <v>1241</v>
      </c>
      <c r="X11" s="624">
        <v>1487</v>
      </c>
      <c r="Y11" s="590">
        <v>720</v>
      </c>
      <c r="Z11" s="590">
        <f>W11/X11*SUM(S11:S13)*Y11</f>
        <v>360532.61600537994</v>
      </c>
      <c r="AA11" s="582">
        <f>Z11+SUM(V11:V13)</f>
        <v>804867.11600537994</v>
      </c>
      <c r="AB11" s="582">
        <f>AA11/SUM(S11:S13)</f>
        <v>1341.4451933422999</v>
      </c>
      <c r="AC11" s="370">
        <v>9</v>
      </c>
      <c r="AD11" s="336">
        <v>24</v>
      </c>
    </row>
    <row r="12" spans="1:30">
      <c r="A12" s="686"/>
      <c r="B12" s="362" t="s">
        <v>96</v>
      </c>
      <c r="C12" s="373">
        <f t="shared" si="0"/>
        <v>287</v>
      </c>
      <c r="D12" s="361">
        <v>2.2999999999999998</v>
      </c>
      <c r="E12" s="352">
        <v>293</v>
      </c>
      <c r="F12" s="107">
        <f t="shared" si="1"/>
        <v>193409.29999999996</v>
      </c>
      <c r="G12" s="688"/>
      <c r="H12" s="624"/>
      <c r="I12" s="590"/>
      <c r="J12" s="590"/>
      <c r="K12" s="582"/>
      <c r="L12" s="582"/>
      <c r="M12" s="376">
        <f t="shared" si="2"/>
        <v>10</v>
      </c>
      <c r="N12" s="336">
        <v>17</v>
      </c>
      <c r="O12" s="374">
        <v>497</v>
      </c>
      <c r="Q12" s="686"/>
      <c r="R12" s="374" t="s">
        <v>96</v>
      </c>
      <c r="S12" s="373">
        <v>210</v>
      </c>
      <c r="T12" s="361">
        <v>2.2999999999999998</v>
      </c>
      <c r="U12" s="368">
        <v>293</v>
      </c>
      <c r="V12" s="107">
        <f t="shared" si="3"/>
        <v>141518.99999999997</v>
      </c>
      <c r="W12" s="688"/>
      <c r="X12" s="624"/>
      <c r="Y12" s="590"/>
      <c r="Z12" s="590"/>
      <c r="AA12" s="582"/>
      <c r="AB12" s="582"/>
      <c r="AC12" s="370">
        <v>7</v>
      </c>
      <c r="AD12" s="336">
        <v>17</v>
      </c>
    </row>
    <row r="13" spans="1:30">
      <c r="A13" s="687"/>
      <c r="B13" s="362" t="s">
        <v>95</v>
      </c>
      <c r="C13" s="373">
        <f t="shared" si="0"/>
        <v>167</v>
      </c>
      <c r="D13" s="361">
        <v>2.65</v>
      </c>
      <c r="E13" s="352">
        <v>293</v>
      </c>
      <c r="F13" s="107">
        <f t="shared" si="1"/>
        <v>129667.15000000001</v>
      </c>
      <c r="G13" s="688"/>
      <c r="H13" s="624"/>
      <c r="I13" s="590"/>
      <c r="J13" s="590"/>
      <c r="K13" s="582"/>
      <c r="L13" s="582"/>
      <c r="M13" s="376">
        <f t="shared" si="2"/>
        <v>6</v>
      </c>
      <c r="N13" s="336">
        <v>10</v>
      </c>
      <c r="O13" s="374">
        <v>287</v>
      </c>
      <c r="Q13" s="687"/>
      <c r="R13" s="374" t="s">
        <v>95</v>
      </c>
      <c r="S13" s="373">
        <v>120</v>
      </c>
      <c r="T13" s="361">
        <v>2.65</v>
      </c>
      <c r="U13" s="368">
        <v>293</v>
      </c>
      <c r="V13" s="107">
        <f t="shared" si="3"/>
        <v>93174</v>
      </c>
      <c r="W13" s="688"/>
      <c r="X13" s="624"/>
      <c r="Y13" s="590"/>
      <c r="Z13" s="590"/>
      <c r="AA13" s="582"/>
      <c r="AB13" s="582"/>
      <c r="AC13" s="370">
        <v>4</v>
      </c>
      <c r="AD13" s="336">
        <v>10</v>
      </c>
    </row>
    <row r="14" spans="1:30">
      <c r="A14" s="682" t="s">
        <v>262</v>
      </c>
      <c r="B14" s="354" t="s">
        <v>98</v>
      </c>
      <c r="C14" s="373">
        <f t="shared" si="0"/>
        <v>342</v>
      </c>
      <c r="D14" s="365">
        <v>2.65</v>
      </c>
      <c r="E14" s="352">
        <v>293</v>
      </c>
      <c r="F14" s="107">
        <f t="shared" si="1"/>
        <v>265545.89999999997</v>
      </c>
      <c r="G14" s="675">
        <v>960</v>
      </c>
      <c r="H14" s="590">
        <v>1203</v>
      </c>
      <c r="I14" s="590">
        <v>720</v>
      </c>
      <c r="J14" s="590">
        <f>G14/H14*SUM(C14:C16)*I14</f>
        <v>409089.27680798009</v>
      </c>
      <c r="K14" s="582">
        <f>J14+SUM(F14:F16)</f>
        <v>936284.17680798005</v>
      </c>
      <c r="L14" s="582">
        <f>K14/SUM(C14:C16)</f>
        <v>1315.0058663033428</v>
      </c>
      <c r="M14" s="376">
        <f t="shared" si="2"/>
        <v>12</v>
      </c>
      <c r="N14" s="336">
        <v>21</v>
      </c>
      <c r="O14" s="373">
        <v>612</v>
      </c>
      <c r="Q14" s="682" t="s">
        <v>262</v>
      </c>
      <c r="R14" s="373" t="s">
        <v>98</v>
      </c>
      <c r="S14" s="373">
        <v>270</v>
      </c>
      <c r="T14" s="365">
        <v>2.65</v>
      </c>
      <c r="U14" s="368">
        <v>293</v>
      </c>
      <c r="V14" s="107">
        <f t="shared" si="3"/>
        <v>209641.5</v>
      </c>
      <c r="W14" s="675">
        <v>960</v>
      </c>
      <c r="X14" s="590">
        <v>1203</v>
      </c>
      <c r="Y14" s="590">
        <v>720</v>
      </c>
      <c r="Z14" s="590">
        <f>W14/X14*SUM(S14:S16)*Y14</f>
        <v>282110.72319201997</v>
      </c>
      <c r="AA14" s="582">
        <f>Z14+SUM(V14:V16)</f>
        <v>647965.17319202004</v>
      </c>
      <c r="AB14" s="582">
        <f>AA14/SUM(S14:S16)</f>
        <v>1319.6846704521793</v>
      </c>
      <c r="AC14" s="370">
        <v>9</v>
      </c>
      <c r="AD14" s="336">
        <v>21</v>
      </c>
    </row>
    <row r="15" spans="1:30">
      <c r="A15" s="683"/>
      <c r="B15" s="354" t="s">
        <v>96</v>
      </c>
      <c r="C15" s="373">
        <f t="shared" si="0"/>
        <v>250</v>
      </c>
      <c r="D15" s="361">
        <v>2.2999999999999998</v>
      </c>
      <c r="E15" s="352">
        <v>293</v>
      </c>
      <c r="F15" s="107">
        <f t="shared" si="1"/>
        <v>168475</v>
      </c>
      <c r="G15" s="675"/>
      <c r="H15" s="590"/>
      <c r="I15" s="590"/>
      <c r="J15" s="590"/>
      <c r="K15" s="582"/>
      <c r="L15" s="582"/>
      <c r="M15" s="376">
        <f t="shared" si="2"/>
        <v>8</v>
      </c>
      <c r="N15" s="336">
        <v>13</v>
      </c>
      <c r="O15" s="373">
        <v>400</v>
      </c>
      <c r="Q15" s="683"/>
      <c r="R15" s="373" t="s">
        <v>96</v>
      </c>
      <c r="S15" s="373">
        <v>150</v>
      </c>
      <c r="T15" s="361">
        <v>2.2999999999999998</v>
      </c>
      <c r="U15" s="368">
        <v>293</v>
      </c>
      <c r="V15" s="107">
        <f t="shared" si="3"/>
        <v>101085</v>
      </c>
      <c r="W15" s="675"/>
      <c r="X15" s="590"/>
      <c r="Y15" s="590"/>
      <c r="Z15" s="590"/>
      <c r="AA15" s="582"/>
      <c r="AB15" s="582"/>
      <c r="AC15" s="370">
        <v>5</v>
      </c>
      <c r="AD15" s="336">
        <v>13</v>
      </c>
    </row>
    <row r="16" spans="1:30">
      <c r="A16" s="684"/>
      <c r="B16" s="354" t="s">
        <v>95</v>
      </c>
      <c r="C16" s="373">
        <f t="shared" si="0"/>
        <v>120</v>
      </c>
      <c r="D16" s="365">
        <v>2.65</v>
      </c>
      <c r="E16" s="352">
        <v>293</v>
      </c>
      <c r="F16" s="107">
        <f t="shared" si="1"/>
        <v>93174</v>
      </c>
      <c r="G16" s="675"/>
      <c r="H16" s="590"/>
      <c r="I16" s="590"/>
      <c r="J16" s="590"/>
      <c r="K16" s="582"/>
      <c r="L16" s="582"/>
      <c r="M16" s="376">
        <f t="shared" si="2"/>
        <v>4</v>
      </c>
      <c r="N16" s="336">
        <v>6</v>
      </c>
      <c r="O16" s="373">
        <v>191</v>
      </c>
      <c r="Q16" s="684"/>
      <c r="R16" s="373" t="s">
        <v>95</v>
      </c>
      <c r="S16" s="373">
        <v>71</v>
      </c>
      <c r="T16" s="365">
        <v>2.65</v>
      </c>
      <c r="U16" s="368">
        <v>293</v>
      </c>
      <c r="V16" s="107">
        <f t="shared" si="3"/>
        <v>55127.950000000004</v>
      </c>
      <c r="W16" s="675"/>
      <c r="X16" s="590"/>
      <c r="Y16" s="590"/>
      <c r="Z16" s="590"/>
      <c r="AA16" s="582"/>
      <c r="AB16" s="582"/>
      <c r="AC16" s="370">
        <v>2</v>
      </c>
      <c r="AD16" s="336">
        <v>6</v>
      </c>
    </row>
    <row r="17" spans="1:30">
      <c r="A17" s="675">
        <v>23400</v>
      </c>
      <c r="B17" s="354" t="s">
        <v>102</v>
      </c>
      <c r="C17" s="373">
        <f t="shared" si="0"/>
        <v>352</v>
      </c>
      <c r="D17" s="365">
        <v>1.42</v>
      </c>
      <c r="E17" s="352">
        <v>293</v>
      </c>
      <c r="F17" s="107">
        <f t="shared" si="1"/>
        <v>146453.12</v>
      </c>
      <c r="G17" s="675">
        <v>2025</v>
      </c>
      <c r="H17" s="590">
        <v>4009</v>
      </c>
      <c r="I17" s="590">
        <v>720</v>
      </c>
      <c r="J17" s="590">
        <f>G17/H17*SUM(C17:C23)*I17</f>
        <v>891020.20453978539</v>
      </c>
      <c r="K17" s="582">
        <f>J17+SUM(F17:F23)</f>
        <v>1910367.2045397852</v>
      </c>
      <c r="L17" s="582">
        <f>K17/SUM(C17:C23)</f>
        <v>779.74171613868782</v>
      </c>
      <c r="M17" s="376">
        <f t="shared" si="2"/>
        <v>12</v>
      </c>
      <c r="N17" s="336">
        <v>19</v>
      </c>
      <c r="O17" s="373">
        <v>562</v>
      </c>
      <c r="Q17" s="675">
        <v>23400</v>
      </c>
      <c r="R17" s="373" t="s">
        <v>102</v>
      </c>
      <c r="S17" s="373">
        <v>210</v>
      </c>
      <c r="T17" s="365">
        <v>1.42</v>
      </c>
      <c r="U17" s="368">
        <v>293</v>
      </c>
      <c r="V17" s="107">
        <f t="shared" si="3"/>
        <v>87372.599999999991</v>
      </c>
      <c r="W17" s="675">
        <v>2025</v>
      </c>
      <c r="X17" s="590">
        <v>4009</v>
      </c>
      <c r="Y17" s="590">
        <v>720</v>
      </c>
      <c r="Z17" s="590">
        <f>W17/X17*SUM(S17:S23)*Y17</f>
        <v>566979.79546021449</v>
      </c>
      <c r="AA17" s="582">
        <f>Z17+SUM(V17:V23)</f>
        <v>1215617.3354602144</v>
      </c>
      <c r="AB17" s="582">
        <f>AA17/SUM(S17:S23)</f>
        <v>779.74171613868793</v>
      </c>
      <c r="AC17" s="370">
        <v>7</v>
      </c>
      <c r="AD17" s="336">
        <v>19</v>
      </c>
    </row>
    <row r="18" spans="1:30">
      <c r="A18" s="675"/>
      <c r="B18" s="354" t="s">
        <v>300</v>
      </c>
      <c r="C18" s="373">
        <f t="shared" si="0"/>
        <v>299</v>
      </c>
      <c r="D18" s="365">
        <v>1.42</v>
      </c>
      <c r="E18" s="352">
        <v>293</v>
      </c>
      <c r="F18" s="107">
        <f t="shared" si="1"/>
        <v>124401.94</v>
      </c>
      <c r="G18" s="675"/>
      <c r="H18" s="590"/>
      <c r="I18" s="590"/>
      <c r="J18" s="590"/>
      <c r="K18" s="582"/>
      <c r="L18" s="582"/>
      <c r="M18" s="376">
        <f t="shared" si="2"/>
        <v>10</v>
      </c>
      <c r="N18" s="336">
        <v>17</v>
      </c>
      <c r="O18" s="373">
        <v>509</v>
      </c>
      <c r="Q18" s="675"/>
      <c r="R18" s="373" t="s">
        <v>300</v>
      </c>
      <c r="S18" s="373">
        <v>210</v>
      </c>
      <c r="T18" s="365">
        <v>1.42</v>
      </c>
      <c r="U18" s="368">
        <v>293</v>
      </c>
      <c r="V18" s="107">
        <f t="shared" si="3"/>
        <v>87372.599999999991</v>
      </c>
      <c r="W18" s="675"/>
      <c r="X18" s="590"/>
      <c r="Y18" s="590"/>
      <c r="Z18" s="590"/>
      <c r="AA18" s="582"/>
      <c r="AB18" s="582"/>
      <c r="AC18" s="370">
        <v>7</v>
      </c>
      <c r="AD18" s="336">
        <v>17</v>
      </c>
    </row>
    <row r="19" spans="1:30">
      <c r="A19" s="675"/>
      <c r="B19" s="354" t="s">
        <v>244</v>
      </c>
      <c r="C19" s="373">
        <f t="shared" si="0"/>
        <v>322</v>
      </c>
      <c r="D19" s="365">
        <v>1.42</v>
      </c>
      <c r="E19" s="352">
        <v>293</v>
      </c>
      <c r="F19" s="107">
        <f t="shared" si="1"/>
        <v>133971.31999999998</v>
      </c>
      <c r="G19" s="675"/>
      <c r="H19" s="590"/>
      <c r="I19" s="590"/>
      <c r="J19" s="590"/>
      <c r="K19" s="582"/>
      <c r="L19" s="582"/>
      <c r="M19" s="376">
        <f t="shared" si="2"/>
        <v>11</v>
      </c>
      <c r="N19" s="336">
        <v>18</v>
      </c>
      <c r="O19" s="373">
        <v>532</v>
      </c>
      <c r="Q19" s="675"/>
      <c r="R19" s="373" t="s">
        <v>244</v>
      </c>
      <c r="S19" s="373">
        <v>210</v>
      </c>
      <c r="T19" s="365">
        <v>1.42</v>
      </c>
      <c r="U19" s="368">
        <v>293</v>
      </c>
      <c r="V19" s="107">
        <f t="shared" si="3"/>
        <v>87372.599999999991</v>
      </c>
      <c r="W19" s="675"/>
      <c r="X19" s="590"/>
      <c r="Y19" s="590"/>
      <c r="Z19" s="590"/>
      <c r="AA19" s="582"/>
      <c r="AB19" s="582"/>
      <c r="AC19" s="370">
        <v>7</v>
      </c>
      <c r="AD19" s="336">
        <v>18</v>
      </c>
    </row>
    <row r="20" spans="1:30">
      <c r="A20" s="675"/>
      <c r="B20" s="354" t="s">
        <v>301</v>
      </c>
      <c r="C20" s="373">
        <f t="shared" si="0"/>
        <v>420</v>
      </c>
      <c r="D20" s="365">
        <v>1.42</v>
      </c>
      <c r="E20" s="352">
        <v>293</v>
      </c>
      <c r="F20" s="107">
        <f t="shared" si="1"/>
        <v>174745.19999999998</v>
      </c>
      <c r="G20" s="675"/>
      <c r="H20" s="590"/>
      <c r="I20" s="590"/>
      <c r="J20" s="590"/>
      <c r="K20" s="582"/>
      <c r="L20" s="582"/>
      <c r="M20" s="376">
        <f t="shared" si="2"/>
        <v>14</v>
      </c>
      <c r="N20" s="336">
        <v>24</v>
      </c>
      <c r="O20" s="373">
        <v>720</v>
      </c>
      <c r="Q20" s="675"/>
      <c r="R20" s="373" t="s">
        <v>301</v>
      </c>
      <c r="S20" s="373">
        <v>300</v>
      </c>
      <c r="T20" s="365">
        <v>1.42</v>
      </c>
      <c r="U20" s="368">
        <v>293</v>
      </c>
      <c r="V20" s="107">
        <f t="shared" si="3"/>
        <v>124818</v>
      </c>
      <c r="W20" s="675"/>
      <c r="X20" s="590"/>
      <c r="Y20" s="590"/>
      <c r="Z20" s="590"/>
      <c r="AA20" s="582"/>
      <c r="AB20" s="582"/>
      <c r="AC20" s="370">
        <v>10</v>
      </c>
      <c r="AD20" s="336">
        <v>24</v>
      </c>
    </row>
    <row r="21" spans="1:30">
      <c r="A21" s="675"/>
      <c r="B21" s="354" t="s">
        <v>302</v>
      </c>
      <c r="C21" s="373">
        <f t="shared" si="0"/>
        <v>318</v>
      </c>
      <c r="D21" s="365">
        <v>1.42</v>
      </c>
      <c r="E21" s="352">
        <v>293</v>
      </c>
      <c r="F21" s="107">
        <f t="shared" si="1"/>
        <v>132307.07999999999</v>
      </c>
      <c r="G21" s="675"/>
      <c r="H21" s="590"/>
      <c r="I21" s="590"/>
      <c r="J21" s="590"/>
      <c r="K21" s="582"/>
      <c r="L21" s="582"/>
      <c r="M21" s="376">
        <f t="shared" si="2"/>
        <v>11</v>
      </c>
      <c r="N21" s="336">
        <v>17</v>
      </c>
      <c r="O21" s="373">
        <v>497</v>
      </c>
      <c r="Q21" s="675"/>
      <c r="R21" s="373" t="s">
        <v>302</v>
      </c>
      <c r="S21" s="373">
        <v>179</v>
      </c>
      <c r="T21" s="365">
        <v>1.42</v>
      </c>
      <c r="U21" s="368">
        <v>293</v>
      </c>
      <c r="V21" s="107">
        <f t="shared" si="3"/>
        <v>74474.739999999991</v>
      </c>
      <c r="W21" s="675"/>
      <c r="X21" s="590"/>
      <c r="Y21" s="590"/>
      <c r="Z21" s="590"/>
      <c r="AA21" s="582"/>
      <c r="AB21" s="582"/>
      <c r="AC21" s="370">
        <v>6</v>
      </c>
      <c r="AD21" s="336">
        <v>17</v>
      </c>
    </row>
    <row r="22" spans="1:30">
      <c r="A22" s="675"/>
      <c r="B22" s="354" t="s">
        <v>151</v>
      </c>
      <c r="C22" s="373">
        <f t="shared" si="0"/>
        <v>383</v>
      </c>
      <c r="D22" s="365">
        <v>1.42</v>
      </c>
      <c r="E22" s="352">
        <v>293</v>
      </c>
      <c r="F22" s="107">
        <f t="shared" si="1"/>
        <v>159350.98000000001</v>
      </c>
      <c r="G22" s="675"/>
      <c r="H22" s="590"/>
      <c r="I22" s="590"/>
      <c r="J22" s="590"/>
      <c r="K22" s="582"/>
      <c r="L22" s="582"/>
      <c r="M22" s="376">
        <f t="shared" si="2"/>
        <v>13</v>
      </c>
      <c r="N22" s="336">
        <v>21</v>
      </c>
      <c r="O22" s="373">
        <v>623</v>
      </c>
      <c r="Q22" s="675"/>
      <c r="R22" s="373" t="s">
        <v>151</v>
      </c>
      <c r="S22" s="373">
        <v>240</v>
      </c>
      <c r="T22" s="365">
        <v>1.42</v>
      </c>
      <c r="U22" s="368">
        <v>293</v>
      </c>
      <c r="V22" s="107">
        <f t="shared" si="3"/>
        <v>99854.39999999998</v>
      </c>
      <c r="W22" s="675"/>
      <c r="X22" s="590"/>
      <c r="Y22" s="590"/>
      <c r="Z22" s="590"/>
      <c r="AA22" s="582"/>
      <c r="AB22" s="582"/>
      <c r="AC22" s="370">
        <v>8</v>
      </c>
      <c r="AD22" s="336">
        <v>21</v>
      </c>
    </row>
    <row r="23" spans="1:30" ht="25.5">
      <c r="A23" s="675"/>
      <c r="B23" s="363" t="s">
        <v>341</v>
      </c>
      <c r="C23" s="373">
        <f t="shared" si="0"/>
        <v>356</v>
      </c>
      <c r="D23" s="365">
        <v>1.42</v>
      </c>
      <c r="E23" s="352">
        <v>293</v>
      </c>
      <c r="F23" s="107">
        <f t="shared" si="1"/>
        <v>148117.35999999999</v>
      </c>
      <c r="G23" s="675"/>
      <c r="H23" s="590"/>
      <c r="I23" s="590"/>
      <c r="J23" s="590"/>
      <c r="K23" s="582"/>
      <c r="L23" s="582"/>
      <c r="M23" s="376">
        <f t="shared" si="2"/>
        <v>12</v>
      </c>
      <c r="N23" s="336">
        <v>19</v>
      </c>
      <c r="O23" s="373">
        <v>566</v>
      </c>
      <c r="Q23" s="675"/>
      <c r="R23" s="363" t="s">
        <v>341</v>
      </c>
      <c r="S23" s="373">
        <v>210</v>
      </c>
      <c r="T23" s="365">
        <v>1.42</v>
      </c>
      <c r="U23" s="368">
        <v>293</v>
      </c>
      <c r="V23" s="107">
        <f t="shared" si="3"/>
        <v>87372.599999999991</v>
      </c>
      <c r="W23" s="675"/>
      <c r="X23" s="590"/>
      <c r="Y23" s="590"/>
      <c r="Z23" s="590"/>
      <c r="AA23" s="582"/>
      <c r="AB23" s="582"/>
      <c r="AC23" s="370">
        <v>7</v>
      </c>
      <c r="AD23" s="336">
        <v>19</v>
      </c>
    </row>
    <row r="24" spans="1:30">
      <c r="A24" s="226"/>
      <c r="B24" s="1"/>
      <c r="C24" s="2">
        <f>SUM(C3:C23)</f>
        <v>8311</v>
      </c>
      <c r="D24" s="1"/>
      <c r="E24" s="1"/>
      <c r="F24" s="215">
        <f>SUM(F3:F23)</f>
        <v>3656786.5000000005</v>
      </c>
      <c r="G24" s="350">
        <f>SUM(G3:G23)</f>
        <v>7970</v>
      </c>
      <c r="H24" s="215">
        <f>SUM(H3:H23)</f>
        <v>14423</v>
      </c>
      <c r="I24" s="350"/>
      <c r="J24" s="350">
        <f>SUM(J3:J23)</f>
        <v>3296624.2142545534</v>
      </c>
      <c r="K24" s="215">
        <f>SUM(K3:K23)</f>
        <v>6953410.7142545525</v>
      </c>
      <c r="L24" s="1"/>
      <c r="M24" s="370">
        <f>SUM(M3:M23)</f>
        <v>282</v>
      </c>
      <c r="N24" s="364">
        <f>SUM(N3:N23)</f>
        <v>484</v>
      </c>
      <c r="O24">
        <f>SUM(O3:O23)</f>
        <v>14423</v>
      </c>
      <c r="Q24" s="226"/>
      <c r="R24" s="1"/>
      <c r="S24" s="2">
        <f>SUM(S3:S23)</f>
        <v>6112</v>
      </c>
      <c r="T24" s="1"/>
      <c r="U24" s="1"/>
      <c r="V24" s="375">
        <f>SUM(V3:V23)</f>
        <v>2647586.09</v>
      </c>
      <c r="W24" s="366">
        <f>SUM(W3:W23)</f>
        <v>7970</v>
      </c>
      <c r="X24" s="375">
        <f>SUM(X3:X23)</f>
        <v>14423</v>
      </c>
      <c r="Y24" s="366"/>
      <c r="Z24" s="366">
        <f>SUM(Z3:Z23)</f>
        <v>2441775.7857454466</v>
      </c>
      <c r="AA24" s="375">
        <f>SUM(AA3:AA23)</f>
        <v>5089361.8757454464</v>
      </c>
      <c r="AB24" s="1"/>
      <c r="AC24" s="377">
        <f>SUM(AC3:AC23)</f>
        <v>202</v>
      </c>
      <c r="AD24" s="364">
        <f>SUM(AD3:AD23)</f>
        <v>484</v>
      </c>
    </row>
    <row r="25" spans="1:30">
      <c r="A25" s="1"/>
      <c r="B25" s="1"/>
      <c r="C25" s="1"/>
      <c r="D25" s="1"/>
      <c r="E25" s="1"/>
      <c r="F25" s="9" t="s">
        <v>233</v>
      </c>
      <c r="G25" s="9"/>
      <c r="H25" s="27">
        <f>K24+K25</f>
        <v>7022944.8213970978</v>
      </c>
      <c r="I25" s="9" t="s">
        <v>232</v>
      </c>
      <c r="J25" s="9"/>
      <c r="K25" s="2">
        <f>K24*1%</f>
        <v>69534.10714254553</v>
      </c>
      <c r="L25" s="1"/>
      <c r="M25" s="324"/>
      <c r="N25" s="351"/>
      <c r="Q25" s="1"/>
      <c r="R25" s="1"/>
      <c r="S25" s="1"/>
      <c r="T25" s="1"/>
      <c r="U25" s="1"/>
      <c r="V25" s="9" t="s">
        <v>233</v>
      </c>
      <c r="W25" s="9"/>
      <c r="X25" s="27">
        <f>AA24+AA25</f>
        <v>5140255.4945029011</v>
      </c>
      <c r="Y25" s="9" t="s">
        <v>232</v>
      </c>
      <c r="Z25" s="9"/>
      <c r="AA25" s="2">
        <f>AA24*1%</f>
        <v>50893.618757454467</v>
      </c>
      <c r="AB25" s="1"/>
      <c r="AC25" s="324"/>
      <c r="AD25" s="367"/>
    </row>
    <row r="28" spans="1:30">
      <c r="P28">
        <f>S24+C24</f>
        <v>14423</v>
      </c>
    </row>
    <row r="30" spans="1:30">
      <c r="E30" s="681" t="s">
        <v>347</v>
      </c>
      <c r="F30" s="681"/>
      <c r="G30" s="681"/>
      <c r="H30" s="681"/>
      <c r="I30" s="681"/>
    </row>
    <row r="31" spans="1:30">
      <c r="E31" s="562"/>
      <c r="F31" s="562"/>
      <c r="G31" s="562"/>
      <c r="H31" s="562"/>
      <c r="I31" s="562"/>
    </row>
    <row r="32" spans="1:30" ht="31.5">
      <c r="E32" s="100" t="s">
        <v>0</v>
      </c>
      <c r="F32" s="100" t="s">
        <v>140</v>
      </c>
      <c r="G32" s="105" t="s">
        <v>125</v>
      </c>
      <c r="H32" s="105" t="s">
        <v>321</v>
      </c>
      <c r="I32" s="105" t="s">
        <v>126</v>
      </c>
    </row>
    <row r="33" spans="5:9">
      <c r="E33" s="682" t="s">
        <v>339</v>
      </c>
      <c r="F33" s="373" t="s">
        <v>94</v>
      </c>
      <c r="G33" s="336">
        <v>66</v>
      </c>
      <c r="H33" s="370">
        <v>33</v>
      </c>
      <c r="I33" s="370">
        <v>33</v>
      </c>
    </row>
    <row r="34" spans="5:9">
      <c r="E34" s="683"/>
      <c r="F34" s="373" t="s">
        <v>340</v>
      </c>
      <c r="G34" s="336">
        <v>39</v>
      </c>
      <c r="H34" s="370">
        <v>12</v>
      </c>
      <c r="I34" s="370">
        <v>27</v>
      </c>
    </row>
    <row r="35" spans="5:9">
      <c r="E35" s="683"/>
      <c r="F35" s="373" t="s">
        <v>95</v>
      </c>
      <c r="G35" s="336">
        <v>33</v>
      </c>
      <c r="H35" s="370">
        <v>14</v>
      </c>
      <c r="I35" s="370">
        <v>19</v>
      </c>
    </row>
    <row r="36" spans="5:9">
      <c r="E36" s="684"/>
      <c r="F36" s="373" t="s">
        <v>96</v>
      </c>
      <c r="G36" s="336">
        <v>28</v>
      </c>
      <c r="H36" s="370">
        <v>11</v>
      </c>
      <c r="I36" s="370">
        <v>17</v>
      </c>
    </row>
    <row r="37" spans="5:9">
      <c r="E37" s="675">
        <v>324</v>
      </c>
      <c r="F37" s="373" t="s">
        <v>101</v>
      </c>
      <c r="G37" s="336">
        <v>33</v>
      </c>
      <c r="H37" s="370">
        <v>16</v>
      </c>
      <c r="I37" s="370">
        <v>17</v>
      </c>
    </row>
    <row r="38" spans="5:9">
      <c r="E38" s="675"/>
      <c r="F38" s="373" t="s">
        <v>161</v>
      </c>
      <c r="G38" s="336">
        <v>23</v>
      </c>
      <c r="H38" s="370">
        <v>11</v>
      </c>
      <c r="I38" s="370">
        <v>12</v>
      </c>
    </row>
    <row r="39" spans="5:9">
      <c r="E39" s="675"/>
      <c r="F39" s="373" t="s">
        <v>150</v>
      </c>
      <c r="G39" s="336">
        <v>19</v>
      </c>
      <c r="H39" s="370">
        <v>9</v>
      </c>
      <c r="I39" s="370">
        <v>10</v>
      </c>
    </row>
    <row r="40" spans="5:9">
      <c r="E40" s="675"/>
      <c r="F40" s="374" t="s">
        <v>95</v>
      </c>
      <c r="G40" s="336">
        <v>17</v>
      </c>
      <c r="H40" s="370">
        <v>8</v>
      </c>
      <c r="I40" s="370">
        <v>9</v>
      </c>
    </row>
    <row r="41" spans="5:9">
      <c r="E41" s="685" t="s">
        <v>147</v>
      </c>
      <c r="F41" s="374" t="s">
        <v>272</v>
      </c>
      <c r="G41" s="336">
        <v>24</v>
      </c>
      <c r="H41" s="370">
        <v>9</v>
      </c>
      <c r="I41" s="370">
        <v>15</v>
      </c>
    </row>
    <row r="42" spans="5:9">
      <c r="E42" s="686"/>
      <c r="F42" s="374" t="s">
        <v>96</v>
      </c>
      <c r="G42" s="336">
        <v>17</v>
      </c>
      <c r="H42" s="370">
        <v>6</v>
      </c>
      <c r="I42" s="370">
        <v>11</v>
      </c>
    </row>
    <row r="43" spans="5:9">
      <c r="E43" s="687"/>
      <c r="F43" s="374" t="s">
        <v>95</v>
      </c>
      <c r="G43" s="336">
        <v>10</v>
      </c>
      <c r="H43" s="370">
        <v>4</v>
      </c>
      <c r="I43" s="370">
        <v>6</v>
      </c>
    </row>
    <row r="44" spans="5:9">
      <c r="E44" s="682" t="s">
        <v>262</v>
      </c>
      <c r="F44" s="373" t="s">
        <v>98</v>
      </c>
      <c r="G44" s="336">
        <v>21</v>
      </c>
      <c r="H44" s="370">
        <v>9</v>
      </c>
      <c r="I44" s="370">
        <v>12</v>
      </c>
    </row>
    <row r="45" spans="5:9">
      <c r="E45" s="683"/>
      <c r="F45" s="373" t="s">
        <v>96</v>
      </c>
      <c r="G45" s="336">
        <v>13</v>
      </c>
      <c r="H45" s="370">
        <v>5</v>
      </c>
      <c r="I45" s="370">
        <v>8</v>
      </c>
    </row>
    <row r="46" spans="5:9">
      <c r="E46" s="684"/>
      <c r="F46" s="373" t="s">
        <v>95</v>
      </c>
      <c r="G46" s="336">
        <v>6</v>
      </c>
      <c r="H46" s="370">
        <v>2</v>
      </c>
      <c r="I46" s="370">
        <v>4</v>
      </c>
    </row>
    <row r="47" spans="5:9">
      <c r="E47" s="675">
        <v>23400</v>
      </c>
      <c r="F47" s="373" t="s">
        <v>102</v>
      </c>
      <c r="G47" s="336">
        <v>19</v>
      </c>
      <c r="H47" s="370">
        <v>7</v>
      </c>
      <c r="I47" s="370">
        <v>12</v>
      </c>
    </row>
    <row r="48" spans="5:9">
      <c r="E48" s="675"/>
      <c r="F48" s="373" t="s">
        <v>300</v>
      </c>
      <c r="G48" s="336">
        <v>17</v>
      </c>
      <c r="H48" s="370">
        <v>7</v>
      </c>
      <c r="I48" s="370">
        <v>10</v>
      </c>
    </row>
    <row r="49" spans="5:9">
      <c r="E49" s="675"/>
      <c r="F49" s="373" t="s">
        <v>244</v>
      </c>
      <c r="G49" s="336">
        <v>18</v>
      </c>
      <c r="H49" s="370">
        <v>7</v>
      </c>
      <c r="I49" s="370">
        <v>11</v>
      </c>
    </row>
    <row r="50" spans="5:9">
      <c r="E50" s="675"/>
      <c r="F50" s="373" t="s">
        <v>301</v>
      </c>
      <c r="G50" s="336">
        <v>24</v>
      </c>
      <c r="H50" s="370">
        <v>10</v>
      </c>
      <c r="I50" s="370">
        <v>14</v>
      </c>
    </row>
    <row r="51" spans="5:9">
      <c r="E51" s="675"/>
      <c r="F51" s="373" t="s">
        <v>302</v>
      </c>
      <c r="G51" s="336">
        <v>17</v>
      </c>
      <c r="H51" s="370">
        <v>6</v>
      </c>
      <c r="I51" s="370">
        <v>11</v>
      </c>
    </row>
    <row r="52" spans="5:9">
      <c r="E52" s="675"/>
      <c r="F52" s="373" t="s">
        <v>151</v>
      </c>
      <c r="G52" s="336">
        <v>21</v>
      </c>
      <c r="H52" s="370">
        <v>8</v>
      </c>
      <c r="I52" s="370">
        <v>13</v>
      </c>
    </row>
    <row r="53" spans="5:9">
      <c r="E53" s="675"/>
      <c r="F53" s="363" t="s">
        <v>341</v>
      </c>
      <c r="G53" s="336">
        <v>19</v>
      </c>
      <c r="H53" s="370">
        <v>7</v>
      </c>
      <c r="I53" s="370">
        <v>12</v>
      </c>
    </row>
    <row r="54" spans="5:9">
      <c r="E54" s="226"/>
      <c r="F54" s="1"/>
      <c r="G54" s="364">
        <f>SUM(G33:G53)</f>
        <v>484</v>
      </c>
      <c r="H54" s="375">
        <f>SUM(H33:H53)</f>
        <v>201</v>
      </c>
      <c r="I54" s="370">
        <f>SUM(I33:I53)</f>
        <v>283</v>
      </c>
    </row>
  </sheetData>
  <mergeCells count="78">
    <mergeCell ref="A1:N1"/>
    <mergeCell ref="H14:H16"/>
    <mergeCell ref="H17:H23"/>
    <mergeCell ref="I17:I23"/>
    <mergeCell ref="I7:I10"/>
    <mergeCell ref="A3:A6"/>
    <mergeCell ref="A7:A10"/>
    <mergeCell ref="A11:A13"/>
    <mergeCell ref="A14:A16"/>
    <mergeCell ref="A17:A23"/>
    <mergeCell ref="G3:G6"/>
    <mergeCell ref="G7:G10"/>
    <mergeCell ref="G11:G13"/>
    <mergeCell ref="G14:G16"/>
    <mergeCell ref="G17:G23"/>
    <mergeCell ref="I11:I13"/>
    <mergeCell ref="J11:J13"/>
    <mergeCell ref="K11:K13"/>
    <mergeCell ref="L11:L13"/>
    <mergeCell ref="H3:H6"/>
    <mergeCell ref="H7:H10"/>
    <mergeCell ref="H11:H13"/>
    <mergeCell ref="J7:J10"/>
    <mergeCell ref="K7:K10"/>
    <mergeCell ref="L7:L10"/>
    <mergeCell ref="I3:I6"/>
    <mergeCell ref="J3:J6"/>
    <mergeCell ref="K3:K6"/>
    <mergeCell ref="L3:L6"/>
    <mergeCell ref="I14:I16"/>
    <mergeCell ref="J14:J16"/>
    <mergeCell ref="K14:K16"/>
    <mergeCell ref="L14:L16"/>
    <mergeCell ref="J17:J23"/>
    <mergeCell ref="K17:K23"/>
    <mergeCell ref="Q1:AD1"/>
    <mergeCell ref="Q3:Q6"/>
    <mergeCell ref="W3:W6"/>
    <mergeCell ref="X3:X6"/>
    <mergeCell ref="Y3:Y6"/>
    <mergeCell ref="Z3:Z6"/>
    <mergeCell ref="AA3:AA6"/>
    <mergeCell ref="AB3:AB6"/>
    <mergeCell ref="AA7:AA10"/>
    <mergeCell ref="AB7:AB10"/>
    <mergeCell ref="Q11:Q13"/>
    <mergeCell ref="W11:W13"/>
    <mergeCell ref="X11:X13"/>
    <mergeCell ref="Y11:Y13"/>
    <mergeCell ref="Z11:Z13"/>
    <mergeCell ref="AA11:AA13"/>
    <mergeCell ref="AB11:AB13"/>
    <mergeCell ref="Q7:Q10"/>
    <mergeCell ref="W7:W10"/>
    <mergeCell ref="X7:X10"/>
    <mergeCell ref="Y7:Y10"/>
    <mergeCell ref="Z7:Z10"/>
    <mergeCell ref="E47:E53"/>
    <mergeCell ref="AA14:AA16"/>
    <mergeCell ref="AB14:AB16"/>
    <mergeCell ref="Q17:Q23"/>
    <mergeCell ref="W17:W23"/>
    <mergeCell ref="X17:X23"/>
    <mergeCell ref="Y17:Y23"/>
    <mergeCell ref="Z17:Z23"/>
    <mergeCell ref="AA17:AA23"/>
    <mergeCell ref="AB17:AB23"/>
    <mergeCell ref="Q14:Q16"/>
    <mergeCell ref="W14:W16"/>
    <mergeCell ref="X14:X16"/>
    <mergeCell ref="Y14:Y16"/>
    <mergeCell ref="Z14:Z16"/>
    <mergeCell ref="L17:L23"/>
    <mergeCell ref="E30:I31"/>
    <mergeCell ref="E33:E36"/>
    <mergeCell ref="E37:E40"/>
    <mergeCell ref="E41:E43"/>
    <mergeCell ref="E44:E46"/>
  </mergeCells>
  <pageMargins left="0.26" right="0.2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A10" workbookViewId="0">
      <selection activeCell="B22" sqref="B22"/>
    </sheetView>
  </sheetViews>
  <sheetFormatPr defaultRowHeight="15"/>
  <cols>
    <col min="1" max="1" width="7.7109375" customWidth="1"/>
    <col min="2" max="2" width="11.5703125" customWidth="1"/>
  </cols>
  <sheetData>
    <row r="1" spans="1:30" ht="28.5">
      <c r="A1" s="605" t="s">
        <v>320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384">
        <v>45308</v>
      </c>
      <c r="Q1" s="605" t="s">
        <v>336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</row>
    <row r="2" spans="1:30" ht="31.5">
      <c r="A2" s="100" t="s">
        <v>0</v>
      </c>
      <c r="B2" s="100" t="s">
        <v>140</v>
      </c>
      <c r="C2" s="101" t="s">
        <v>123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321</v>
      </c>
      <c r="N2" s="105" t="s">
        <v>125</v>
      </c>
      <c r="Q2" s="100" t="s">
        <v>0</v>
      </c>
      <c r="R2" s="100" t="s">
        <v>140</v>
      </c>
      <c r="S2" s="101" t="s">
        <v>130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126</v>
      </c>
      <c r="AD2" s="105" t="s">
        <v>125</v>
      </c>
    </row>
    <row r="3" spans="1:30" ht="15" customHeight="1">
      <c r="A3" s="640" t="s">
        <v>240</v>
      </c>
      <c r="B3" s="360" t="s">
        <v>101</v>
      </c>
      <c r="C3" s="360">
        <v>240</v>
      </c>
      <c r="D3" s="360">
        <v>0.65</v>
      </c>
      <c r="E3" s="356">
        <v>290</v>
      </c>
      <c r="F3" s="107">
        <f>C3*D3*E3</f>
        <v>45240</v>
      </c>
      <c r="G3" s="640">
        <v>1881</v>
      </c>
      <c r="H3" s="624">
        <v>5520</v>
      </c>
      <c r="I3" s="590">
        <v>710</v>
      </c>
      <c r="J3" s="590">
        <f>G3/H3*SUM(C3:C14)*I3</f>
        <v>645980.38043478259</v>
      </c>
      <c r="K3" s="582">
        <f>J3+SUM(F3:F14)</f>
        <v>1149275.3804347827</v>
      </c>
      <c r="L3" s="582">
        <f>K3/SUM(C3:C14)</f>
        <v>430.44021739130437</v>
      </c>
      <c r="M3" s="359">
        <v>8</v>
      </c>
      <c r="N3" s="360">
        <v>17</v>
      </c>
      <c r="O3" s="372">
        <v>510</v>
      </c>
      <c r="Q3" s="640" t="s">
        <v>240</v>
      </c>
      <c r="R3" s="372" t="s">
        <v>101</v>
      </c>
      <c r="S3" s="372">
        <v>270</v>
      </c>
      <c r="T3" s="372">
        <v>0.65</v>
      </c>
      <c r="U3" s="368">
        <v>290</v>
      </c>
      <c r="V3" s="107">
        <f>S3*T3*U3</f>
        <v>50895</v>
      </c>
      <c r="W3" s="640">
        <v>1881</v>
      </c>
      <c r="X3" s="624">
        <v>5520</v>
      </c>
      <c r="Y3" s="590">
        <v>710</v>
      </c>
      <c r="Z3" s="590">
        <f>W3/X3*SUM(S3:S14)*Y3</f>
        <v>689529.61956521741</v>
      </c>
      <c r="AA3" s="582">
        <f>Z3+SUM(V3:V14)</f>
        <v>1226754.6195652173</v>
      </c>
      <c r="AB3" s="582">
        <f>AA3/SUM(S3:S14)</f>
        <v>430.44021739130432</v>
      </c>
      <c r="AC3" s="370">
        <v>9</v>
      </c>
      <c r="AD3" s="372">
        <v>17</v>
      </c>
    </row>
    <row r="4" spans="1:30">
      <c r="A4" s="640"/>
      <c r="B4" s="360" t="s">
        <v>150</v>
      </c>
      <c r="C4" s="360">
        <v>240</v>
      </c>
      <c r="D4" s="195">
        <v>0.65</v>
      </c>
      <c r="E4" s="356">
        <v>290</v>
      </c>
      <c r="F4" s="107">
        <f t="shared" ref="F4:F31" si="0">C4*D4*E4</f>
        <v>45240</v>
      </c>
      <c r="G4" s="640"/>
      <c r="H4" s="624"/>
      <c r="I4" s="590"/>
      <c r="J4" s="590"/>
      <c r="K4" s="582"/>
      <c r="L4" s="582"/>
      <c r="M4" s="359">
        <v>8</v>
      </c>
      <c r="N4" s="360">
        <v>16</v>
      </c>
      <c r="O4" s="372">
        <v>480</v>
      </c>
      <c r="Q4" s="640"/>
      <c r="R4" s="372" t="s">
        <v>150</v>
      </c>
      <c r="S4" s="372">
        <v>240</v>
      </c>
      <c r="T4" s="195">
        <v>0.65</v>
      </c>
      <c r="U4" s="368">
        <v>290</v>
      </c>
      <c r="V4" s="107">
        <f t="shared" ref="V4:V31" si="1">S4*T4*U4</f>
        <v>45240</v>
      </c>
      <c r="W4" s="640"/>
      <c r="X4" s="624"/>
      <c r="Y4" s="590"/>
      <c r="Z4" s="590"/>
      <c r="AA4" s="582"/>
      <c r="AB4" s="582"/>
      <c r="AC4" s="370">
        <v>8</v>
      </c>
      <c r="AD4" s="372">
        <v>16</v>
      </c>
    </row>
    <row r="5" spans="1:30">
      <c r="A5" s="640"/>
      <c r="B5" s="360" t="s">
        <v>343</v>
      </c>
      <c r="C5" s="360">
        <v>210</v>
      </c>
      <c r="D5" s="195">
        <v>0.65</v>
      </c>
      <c r="E5" s="356">
        <v>290</v>
      </c>
      <c r="F5" s="107">
        <f t="shared" si="0"/>
        <v>39585</v>
      </c>
      <c r="G5" s="640"/>
      <c r="H5" s="624"/>
      <c r="I5" s="590"/>
      <c r="J5" s="590"/>
      <c r="K5" s="582"/>
      <c r="L5" s="582"/>
      <c r="M5" s="359">
        <v>7</v>
      </c>
      <c r="N5" s="360">
        <v>15</v>
      </c>
      <c r="O5" s="372">
        <v>450</v>
      </c>
      <c r="Q5" s="640"/>
      <c r="R5" s="372" t="s">
        <v>343</v>
      </c>
      <c r="S5" s="372">
        <v>240</v>
      </c>
      <c r="T5" s="195">
        <v>0.65</v>
      </c>
      <c r="U5" s="368">
        <v>290</v>
      </c>
      <c r="V5" s="107">
        <f t="shared" si="1"/>
        <v>45240</v>
      </c>
      <c r="W5" s="640"/>
      <c r="X5" s="624"/>
      <c r="Y5" s="590"/>
      <c r="Z5" s="590"/>
      <c r="AA5" s="582"/>
      <c r="AB5" s="582"/>
      <c r="AC5" s="370">
        <v>8</v>
      </c>
      <c r="AD5" s="372">
        <v>15</v>
      </c>
    </row>
    <row r="6" spans="1:30">
      <c r="A6" s="640"/>
      <c r="B6" s="358" t="s">
        <v>95</v>
      </c>
      <c r="C6" s="360">
        <v>240</v>
      </c>
      <c r="D6" s="195">
        <v>0.65</v>
      </c>
      <c r="E6" s="356">
        <v>290</v>
      </c>
      <c r="F6" s="107">
        <f t="shared" si="0"/>
        <v>45240</v>
      </c>
      <c r="G6" s="640"/>
      <c r="H6" s="624"/>
      <c r="I6" s="590"/>
      <c r="J6" s="590"/>
      <c r="K6" s="582"/>
      <c r="L6" s="582"/>
      <c r="M6" s="359">
        <v>8</v>
      </c>
      <c r="N6" s="360">
        <v>16</v>
      </c>
      <c r="O6" s="372">
        <v>480</v>
      </c>
      <c r="Q6" s="640"/>
      <c r="R6" s="371" t="s">
        <v>95</v>
      </c>
      <c r="S6" s="372">
        <v>240</v>
      </c>
      <c r="T6" s="195">
        <v>0.65</v>
      </c>
      <c r="U6" s="368">
        <v>290</v>
      </c>
      <c r="V6" s="107">
        <f t="shared" si="1"/>
        <v>45240</v>
      </c>
      <c r="W6" s="640"/>
      <c r="X6" s="624"/>
      <c r="Y6" s="590"/>
      <c r="Z6" s="590"/>
      <c r="AA6" s="582"/>
      <c r="AB6" s="582"/>
      <c r="AC6" s="370">
        <v>8</v>
      </c>
      <c r="AD6" s="372">
        <v>16</v>
      </c>
    </row>
    <row r="7" spans="1:30">
      <c r="A7" s="640"/>
      <c r="B7" s="358" t="s">
        <v>307</v>
      </c>
      <c r="C7" s="360">
        <v>240</v>
      </c>
      <c r="D7" s="195">
        <v>0.65</v>
      </c>
      <c r="E7" s="356">
        <v>290</v>
      </c>
      <c r="F7" s="107">
        <f t="shared" si="0"/>
        <v>45240</v>
      </c>
      <c r="G7" s="640"/>
      <c r="H7" s="624"/>
      <c r="I7" s="590"/>
      <c r="J7" s="590"/>
      <c r="K7" s="582"/>
      <c r="L7" s="582"/>
      <c r="M7" s="359">
        <v>8</v>
      </c>
      <c r="N7" s="360">
        <v>17</v>
      </c>
      <c r="O7" s="372">
        <v>510</v>
      </c>
      <c r="Q7" s="640"/>
      <c r="R7" s="371" t="s">
        <v>307</v>
      </c>
      <c r="S7" s="372">
        <v>270</v>
      </c>
      <c r="T7" s="195">
        <v>0.65</v>
      </c>
      <c r="U7" s="368">
        <v>290</v>
      </c>
      <c r="V7" s="107">
        <f t="shared" si="1"/>
        <v>50895</v>
      </c>
      <c r="W7" s="640"/>
      <c r="X7" s="624"/>
      <c r="Y7" s="590"/>
      <c r="Z7" s="590"/>
      <c r="AA7" s="582"/>
      <c r="AB7" s="582"/>
      <c r="AC7" s="370">
        <v>9</v>
      </c>
      <c r="AD7" s="372">
        <v>17</v>
      </c>
    </row>
    <row r="8" spans="1:30">
      <c r="A8" s="640"/>
      <c r="B8" s="358" t="s">
        <v>344</v>
      </c>
      <c r="C8" s="360">
        <v>240</v>
      </c>
      <c r="D8" s="360">
        <v>0.65</v>
      </c>
      <c r="E8" s="356">
        <v>290</v>
      </c>
      <c r="F8" s="107">
        <f t="shared" si="0"/>
        <v>45240</v>
      </c>
      <c r="G8" s="640"/>
      <c r="H8" s="624"/>
      <c r="I8" s="590"/>
      <c r="J8" s="590"/>
      <c r="K8" s="582"/>
      <c r="L8" s="582"/>
      <c r="M8" s="359">
        <v>8</v>
      </c>
      <c r="N8" s="360">
        <v>17</v>
      </c>
      <c r="O8" s="372">
        <v>510</v>
      </c>
      <c r="Q8" s="640"/>
      <c r="R8" s="371" t="s">
        <v>344</v>
      </c>
      <c r="S8" s="372">
        <v>270</v>
      </c>
      <c r="T8" s="372">
        <v>0.65</v>
      </c>
      <c r="U8" s="368">
        <v>290</v>
      </c>
      <c r="V8" s="107">
        <f t="shared" si="1"/>
        <v>50895</v>
      </c>
      <c r="W8" s="640"/>
      <c r="X8" s="624"/>
      <c r="Y8" s="590"/>
      <c r="Z8" s="590"/>
      <c r="AA8" s="582"/>
      <c r="AB8" s="582"/>
      <c r="AC8" s="370">
        <v>9</v>
      </c>
      <c r="AD8" s="372">
        <v>17</v>
      </c>
    </row>
    <row r="9" spans="1:30">
      <c r="A9" s="640"/>
      <c r="B9" s="358" t="s">
        <v>97</v>
      </c>
      <c r="C9" s="360">
        <v>150</v>
      </c>
      <c r="D9" s="195">
        <v>0.65</v>
      </c>
      <c r="E9" s="356">
        <v>290</v>
      </c>
      <c r="F9" s="107">
        <f t="shared" si="0"/>
        <v>28275</v>
      </c>
      <c r="G9" s="640"/>
      <c r="H9" s="624"/>
      <c r="I9" s="590"/>
      <c r="J9" s="590"/>
      <c r="K9" s="582"/>
      <c r="L9" s="582"/>
      <c r="M9" s="359">
        <v>5</v>
      </c>
      <c r="N9" s="360">
        <v>10</v>
      </c>
      <c r="O9" s="372">
        <v>300</v>
      </c>
      <c r="Q9" s="640"/>
      <c r="R9" s="371" t="s">
        <v>97</v>
      </c>
      <c r="S9" s="372">
        <v>150</v>
      </c>
      <c r="T9" s="195">
        <v>0.65</v>
      </c>
      <c r="U9" s="368">
        <v>290</v>
      </c>
      <c r="V9" s="107">
        <f t="shared" si="1"/>
        <v>28275</v>
      </c>
      <c r="W9" s="640"/>
      <c r="X9" s="624"/>
      <c r="Y9" s="590"/>
      <c r="Z9" s="590"/>
      <c r="AA9" s="582"/>
      <c r="AB9" s="582"/>
      <c r="AC9" s="370">
        <v>5</v>
      </c>
      <c r="AD9" s="372">
        <v>10</v>
      </c>
    </row>
    <row r="10" spans="1:30">
      <c r="A10" s="640"/>
      <c r="B10" s="358" t="s">
        <v>283</v>
      </c>
      <c r="C10" s="360">
        <v>150</v>
      </c>
      <c r="D10" s="195">
        <v>0.65</v>
      </c>
      <c r="E10" s="356">
        <v>290</v>
      </c>
      <c r="F10" s="107">
        <f t="shared" si="0"/>
        <v>28275</v>
      </c>
      <c r="G10" s="640"/>
      <c r="H10" s="624"/>
      <c r="I10" s="590"/>
      <c r="J10" s="590"/>
      <c r="K10" s="582"/>
      <c r="L10" s="582"/>
      <c r="M10" s="359">
        <v>5</v>
      </c>
      <c r="N10" s="360">
        <v>10</v>
      </c>
      <c r="O10" s="372">
        <v>300</v>
      </c>
      <c r="Q10" s="640"/>
      <c r="R10" s="371" t="s">
        <v>283</v>
      </c>
      <c r="S10" s="372">
        <v>150</v>
      </c>
      <c r="T10" s="195">
        <v>0.65</v>
      </c>
      <c r="U10" s="368">
        <v>290</v>
      </c>
      <c r="V10" s="107">
        <f t="shared" si="1"/>
        <v>28275</v>
      </c>
      <c r="W10" s="640"/>
      <c r="X10" s="624"/>
      <c r="Y10" s="590"/>
      <c r="Z10" s="590"/>
      <c r="AA10" s="582"/>
      <c r="AB10" s="582"/>
      <c r="AC10" s="370">
        <v>5</v>
      </c>
      <c r="AD10" s="372">
        <v>10</v>
      </c>
    </row>
    <row r="11" spans="1:30" ht="15" customHeight="1">
      <c r="A11" s="640"/>
      <c r="B11" s="358" t="s">
        <v>299</v>
      </c>
      <c r="C11" s="360">
        <v>240</v>
      </c>
      <c r="D11" s="195">
        <v>0.65</v>
      </c>
      <c r="E11" s="356">
        <v>290</v>
      </c>
      <c r="F11" s="107">
        <f t="shared" si="0"/>
        <v>45240</v>
      </c>
      <c r="G11" s="640"/>
      <c r="H11" s="624"/>
      <c r="I11" s="590"/>
      <c r="J11" s="590"/>
      <c r="K11" s="582"/>
      <c r="L11" s="582"/>
      <c r="M11" s="359">
        <v>8</v>
      </c>
      <c r="N11" s="360">
        <v>16</v>
      </c>
      <c r="O11" s="372">
        <v>480</v>
      </c>
      <c r="Q11" s="640"/>
      <c r="R11" s="371" t="s">
        <v>299</v>
      </c>
      <c r="S11" s="372">
        <v>240</v>
      </c>
      <c r="T11" s="195">
        <v>0.65</v>
      </c>
      <c r="U11" s="368">
        <v>290</v>
      </c>
      <c r="V11" s="107">
        <f t="shared" si="1"/>
        <v>45240</v>
      </c>
      <c r="W11" s="640"/>
      <c r="X11" s="624"/>
      <c r="Y11" s="590"/>
      <c r="Z11" s="590"/>
      <c r="AA11" s="582"/>
      <c r="AB11" s="582"/>
      <c r="AC11" s="370">
        <v>8</v>
      </c>
      <c r="AD11" s="372">
        <v>16</v>
      </c>
    </row>
    <row r="12" spans="1:30">
      <c r="A12" s="640"/>
      <c r="B12" s="358" t="s">
        <v>151</v>
      </c>
      <c r="C12" s="360">
        <v>240</v>
      </c>
      <c r="D12" s="195">
        <v>0.65</v>
      </c>
      <c r="E12" s="356">
        <v>290</v>
      </c>
      <c r="F12" s="107">
        <f t="shared" si="0"/>
        <v>45240</v>
      </c>
      <c r="G12" s="640"/>
      <c r="H12" s="624"/>
      <c r="I12" s="590"/>
      <c r="J12" s="590"/>
      <c r="K12" s="582"/>
      <c r="L12" s="582"/>
      <c r="M12" s="359">
        <v>8</v>
      </c>
      <c r="N12" s="360">
        <v>17</v>
      </c>
      <c r="O12" s="372">
        <v>510</v>
      </c>
      <c r="Q12" s="640"/>
      <c r="R12" s="371" t="s">
        <v>151</v>
      </c>
      <c r="S12" s="372">
        <v>270</v>
      </c>
      <c r="T12" s="195">
        <v>0.65</v>
      </c>
      <c r="U12" s="368">
        <v>290</v>
      </c>
      <c r="V12" s="107">
        <f t="shared" si="1"/>
        <v>50895</v>
      </c>
      <c r="W12" s="640"/>
      <c r="X12" s="624"/>
      <c r="Y12" s="590"/>
      <c r="Z12" s="590"/>
      <c r="AA12" s="582"/>
      <c r="AB12" s="582"/>
      <c r="AC12" s="370">
        <v>9</v>
      </c>
      <c r="AD12" s="372">
        <v>17</v>
      </c>
    </row>
    <row r="13" spans="1:30">
      <c r="A13" s="640"/>
      <c r="B13" s="358" t="s">
        <v>302</v>
      </c>
      <c r="C13" s="360">
        <v>240</v>
      </c>
      <c r="D13" s="360">
        <v>0.65</v>
      </c>
      <c r="E13" s="356">
        <v>290</v>
      </c>
      <c r="F13" s="107">
        <f t="shared" si="0"/>
        <v>45240</v>
      </c>
      <c r="G13" s="640"/>
      <c r="H13" s="624"/>
      <c r="I13" s="590"/>
      <c r="J13" s="590"/>
      <c r="K13" s="582"/>
      <c r="L13" s="582"/>
      <c r="M13" s="359">
        <v>8</v>
      </c>
      <c r="N13" s="360">
        <v>17</v>
      </c>
      <c r="O13" s="372">
        <v>510</v>
      </c>
      <c r="Q13" s="640"/>
      <c r="R13" s="371" t="s">
        <v>302</v>
      </c>
      <c r="S13" s="372">
        <v>270</v>
      </c>
      <c r="T13" s="372">
        <v>0.65</v>
      </c>
      <c r="U13" s="368">
        <v>290</v>
      </c>
      <c r="V13" s="107">
        <f t="shared" si="1"/>
        <v>50895</v>
      </c>
      <c r="W13" s="640"/>
      <c r="X13" s="624"/>
      <c r="Y13" s="590"/>
      <c r="Z13" s="590"/>
      <c r="AA13" s="582"/>
      <c r="AB13" s="582"/>
      <c r="AC13" s="370">
        <v>9</v>
      </c>
      <c r="AD13" s="372">
        <v>17</v>
      </c>
    </row>
    <row r="14" spans="1:30" ht="15" customHeight="1">
      <c r="A14" s="640"/>
      <c r="B14" s="358" t="s">
        <v>345</v>
      </c>
      <c r="C14" s="360">
        <v>240</v>
      </c>
      <c r="D14" s="195">
        <v>0.65</v>
      </c>
      <c r="E14" s="356">
        <v>290</v>
      </c>
      <c r="F14" s="107">
        <f t="shared" si="0"/>
        <v>45240</v>
      </c>
      <c r="G14" s="640"/>
      <c r="H14" s="624"/>
      <c r="I14" s="590"/>
      <c r="J14" s="590"/>
      <c r="K14" s="582"/>
      <c r="L14" s="582"/>
      <c r="M14" s="359">
        <v>8</v>
      </c>
      <c r="N14" s="360">
        <v>16</v>
      </c>
      <c r="O14" s="372">
        <v>480</v>
      </c>
      <c r="Q14" s="640"/>
      <c r="R14" s="371" t="s">
        <v>345</v>
      </c>
      <c r="S14" s="372">
        <v>240</v>
      </c>
      <c r="T14" s="195">
        <v>0.65</v>
      </c>
      <c r="U14" s="368">
        <v>290</v>
      </c>
      <c r="V14" s="107">
        <f t="shared" si="1"/>
        <v>45240</v>
      </c>
      <c r="W14" s="640"/>
      <c r="X14" s="624"/>
      <c r="Y14" s="590"/>
      <c r="Z14" s="590"/>
      <c r="AA14" s="582"/>
      <c r="AB14" s="582"/>
      <c r="AC14" s="370">
        <v>8</v>
      </c>
      <c r="AD14" s="372">
        <v>16</v>
      </c>
    </row>
    <row r="15" spans="1:30">
      <c r="A15" s="616" t="s">
        <v>342</v>
      </c>
      <c r="B15" s="358" t="s">
        <v>298</v>
      </c>
      <c r="C15" s="358">
        <v>0</v>
      </c>
      <c r="D15" s="195">
        <v>0.97</v>
      </c>
      <c r="E15" s="356">
        <v>290</v>
      </c>
      <c r="F15" s="107">
        <f t="shared" si="0"/>
        <v>0</v>
      </c>
      <c r="G15" s="616">
        <v>2889</v>
      </c>
      <c r="H15" s="590">
        <v>8535</v>
      </c>
      <c r="I15" s="590">
        <v>710</v>
      </c>
      <c r="J15" s="590">
        <f>G15/H15*SUM(C15:C21)*I15</f>
        <v>0</v>
      </c>
      <c r="K15" s="582">
        <f>J15+SUM(F15:F21)</f>
        <v>0</v>
      </c>
      <c r="L15" s="582" t="e">
        <f>K15/SUM(C15:C21)</f>
        <v>#DIV/0!</v>
      </c>
      <c r="M15" s="359">
        <v>0</v>
      </c>
      <c r="N15" s="357">
        <v>65</v>
      </c>
      <c r="O15" s="371">
        <v>1956</v>
      </c>
      <c r="Q15" s="616" t="s">
        <v>342</v>
      </c>
      <c r="R15" s="371" t="s">
        <v>298</v>
      </c>
      <c r="S15" s="371">
        <v>1956</v>
      </c>
      <c r="T15" s="195">
        <v>0.97</v>
      </c>
      <c r="U15" s="368">
        <v>290</v>
      </c>
      <c r="V15" s="107">
        <f t="shared" si="1"/>
        <v>550222.79999999993</v>
      </c>
      <c r="W15" s="616">
        <v>2889</v>
      </c>
      <c r="X15" s="590">
        <v>8535</v>
      </c>
      <c r="Y15" s="590">
        <v>710</v>
      </c>
      <c r="Z15" s="590">
        <f>W15/X15*SUM(S15:S21)*Y15</f>
        <v>2051190</v>
      </c>
      <c r="AA15" s="582">
        <f>Z15+SUM(V15:V21)</f>
        <v>4452085.5</v>
      </c>
      <c r="AB15" s="582">
        <f>AA15/SUM(S15:S21)</f>
        <v>521.62688927943759</v>
      </c>
      <c r="AC15" s="370">
        <v>65</v>
      </c>
      <c r="AD15" s="369">
        <v>65</v>
      </c>
    </row>
    <row r="16" spans="1:30">
      <c r="A16" s="616"/>
      <c r="B16" s="358" t="s">
        <v>95</v>
      </c>
      <c r="C16" s="358">
        <v>0</v>
      </c>
      <c r="D16" s="195">
        <v>0.97</v>
      </c>
      <c r="E16" s="356">
        <v>290</v>
      </c>
      <c r="F16" s="107">
        <f t="shared" si="0"/>
        <v>0</v>
      </c>
      <c r="G16" s="616"/>
      <c r="H16" s="590"/>
      <c r="I16" s="590"/>
      <c r="J16" s="590"/>
      <c r="K16" s="582"/>
      <c r="L16" s="582"/>
      <c r="M16" s="359">
        <v>0</v>
      </c>
      <c r="N16" s="357">
        <v>40</v>
      </c>
      <c r="O16" s="371">
        <v>1200</v>
      </c>
      <c r="Q16" s="616"/>
      <c r="R16" s="371" t="s">
        <v>95</v>
      </c>
      <c r="S16" s="371">
        <v>1200</v>
      </c>
      <c r="T16" s="195">
        <v>0.97</v>
      </c>
      <c r="U16" s="368">
        <v>290</v>
      </c>
      <c r="V16" s="107">
        <f t="shared" si="1"/>
        <v>337560</v>
      </c>
      <c r="W16" s="616"/>
      <c r="X16" s="590"/>
      <c r="Y16" s="590"/>
      <c r="Z16" s="590"/>
      <c r="AA16" s="582"/>
      <c r="AB16" s="582"/>
      <c r="AC16" s="370">
        <v>40</v>
      </c>
      <c r="AD16" s="369">
        <v>40</v>
      </c>
    </row>
    <row r="17" spans="1:30">
      <c r="A17" s="616"/>
      <c r="B17" s="358" t="s">
        <v>150</v>
      </c>
      <c r="C17" s="358">
        <v>0</v>
      </c>
      <c r="D17" s="195">
        <v>0.97</v>
      </c>
      <c r="E17" s="356">
        <v>290</v>
      </c>
      <c r="F17" s="107">
        <f t="shared" si="0"/>
        <v>0</v>
      </c>
      <c r="G17" s="616"/>
      <c r="H17" s="590"/>
      <c r="I17" s="590"/>
      <c r="J17" s="590"/>
      <c r="K17" s="582"/>
      <c r="L17" s="582"/>
      <c r="M17" s="359">
        <v>0</v>
      </c>
      <c r="N17" s="357">
        <v>62</v>
      </c>
      <c r="O17" s="371">
        <v>1859</v>
      </c>
      <c r="Q17" s="616"/>
      <c r="R17" s="371" t="s">
        <v>150</v>
      </c>
      <c r="S17" s="371">
        <v>1859</v>
      </c>
      <c r="T17" s="195">
        <v>0.97</v>
      </c>
      <c r="U17" s="368">
        <v>290</v>
      </c>
      <c r="V17" s="107">
        <f t="shared" si="1"/>
        <v>522936.7</v>
      </c>
      <c r="W17" s="616"/>
      <c r="X17" s="590"/>
      <c r="Y17" s="590"/>
      <c r="Z17" s="590"/>
      <c r="AA17" s="582"/>
      <c r="AB17" s="582"/>
      <c r="AC17" s="370">
        <v>62</v>
      </c>
      <c r="AD17" s="369">
        <v>62</v>
      </c>
    </row>
    <row r="18" spans="1:30">
      <c r="A18" s="616"/>
      <c r="B18" s="358" t="s">
        <v>102</v>
      </c>
      <c r="C18" s="358">
        <v>0</v>
      </c>
      <c r="D18" s="195">
        <v>0.97</v>
      </c>
      <c r="E18" s="356">
        <v>290</v>
      </c>
      <c r="F18" s="107">
        <f t="shared" si="0"/>
        <v>0</v>
      </c>
      <c r="G18" s="616"/>
      <c r="H18" s="590"/>
      <c r="I18" s="590"/>
      <c r="J18" s="590"/>
      <c r="K18" s="582"/>
      <c r="L18" s="582"/>
      <c r="M18" s="359">
        <v>0</v>
      </c>
      <c r="N18" s="357">
        <v>48</v>
      </c>
      <c r="O18" s="371">
        <v>1451</v>
      </c>
      <c r="Q18" s="616"/>
      <c r="R18" s="371" t="s">
        <v>102</v>
      </c>
      <c r="S18" s="371">
        <v>1451</v>
      </c>
      <c r="T18" s="195">
        <v>0.97</v>
      </c>
      <c r="U18" s="368">
        <v>290</v>
      </c>
      <c r="V18" s="107">
        <f t="shared" si="1"/>
        <v>408166.3</v>
      </c>
      <c r="W18" s="616"/>
      <c r="X18" s="590"/>
      <c r="Y18" s="590"/>
      <c r="Z18" s="590"/>
      <c r="AA18" s="582"/>
      <c r="AB18" s="582"/>
      <c r="AC18" s="370">
        <v>48</v>
      </c>
      <c r="AD18" s="369">
        <v>48</v>
      </c>
    </row>
    <row r="19" spans="1:30">
      <c r="A19" s="616"/>
      <c r="B19" s="358" t="s">
        <v>299</v>
      </c>
      <c r="C19" s="358">
        <v>0</v>
      </c>
      <c r="D19" s="195">
        <v>0.97</v>
      </c>
      <c r="E19" s="356">
        <v>290</v>
      </c>
      <c r="F19" s="107">
        <f t="shared" si="0"/>
        <v>0</v>
      </c>
      <c r="G19" s="616"/>
      <c r="H19" s="590"/>
      <c r="I19" s="590"/>
      <c r="J19" s="590"/>
      <c r="K19" s="582"/>
      <c r="L19" s="582"/>
      <c r="M19" s="359">
        <v>0</v>
      </c>
      <c r="N19" s="357">
        <v>26</v>
      </c>
      <c r="O19" s="371">
        <v>797</v>
      </c>
      <c r="Q19" s="616"/>
      <c r="R19" s="371" t="s">
        <v>299</v>
      </c>
      <c r="S19" s="371">
        <v>797</v>
      </c>
      <c r="T19" s="195">
        <v>0.97</v>
      </c>
      <c r="U19" s="368">
        <v>290</v>
      </c>
      <c r="V19" s="107">
        <f t="shared" si="1"/>
        <v>224196.1</v>
      </c>
      <c r="W19" s="616"/>
      <c r="X19" s="590"/>
      <c r="Y19" s="590"/>
      <c r="Z19" s="590"/>
      <c r="AA19" s="582"/>
      <c r="AB19" s="582"/>
      <c r="AC19" s="370">
        <v>26</v>
      </c>
      <c r="AD19" s="369">
        <v>26</v>
      </c>
    </row>
    <row r="20" spans="1:30">
      <c r="A20" s="616"/>
      <c r="B20" s="358" t="s">
        <v>100</v>
      </c>
      <c r="C20" s="358">
        <v>0</v>
      </c>
      <c r="D20" s="195">
        <v>0.97</v>
      </c>
      <c r="E20" s="356">
        <v>290</v>
      </c>
      <c r="F20" s="107">
        <f t="shared" si="0"/>
        <v>0</v>
      </c>
      <c r="G20" s="616"/>
      <c r="H20" s="590"/>
      <c r="I20" s="590"/>
      <c r="J20" s="590"/>
      <c r="K20" s="582"/>
      <c r="L20" s="582"/>
      <c r="M20" s="359">
        <v>0</v>
      </c>
      <c r="N20" s="357">
        <v>20</v>
      </c>
      <c r="O20" s="371">
        <v>610</v>
      </c>
      <c r="Q20" s="616"/>
      <c r="R20" s="371" t="s">
        <v>100</v>
      </c>
      <c r="S20" s="371">
        <v>610</v>
      </c>
      <c r="T20" s="195">
        <v>0.97</v>
      </c>
      <c r="U20" s="368">
        <v>290</v>
      </c>
      <c r="V20" s="107">
        <f t="shared" si="1"/>
        <v>171592.99999999997</v>
      </c>
      <c r="W20" s="616"/>
      <c r="X20" s="590"/>
      <c r="Y20" s="590"/>
      <c r="Z20" s="590"/>
      <c r="AA20" s="582"/>
      <c r="AB20" s="582"/>
      <c r="AC20" s="370">
        <v>20</v>
      </c>
      <c r="AD20" s="369">
        <v>20</v>
      </c>
    </row>
    <row r="21" spans="1:30">
      <c r="A21" s="616"/>
      <c r="B21" s="358" t="s">
        <v>101</v>
      </c>
      <c r="C21" s="358">
        <v>0</v>
      </c>
      <c r="D21" s="195">
        <v>0.97</v>
      </c>
      <c r="E21" s="356">
        <v>290</v>
      </c>
      <c r="F21" s="107">
        <f t="shared" si="0"/>
        <v>0</v>
      </c>
      <c r="G21" s="616"/>
      <c r="H21" s="590"/>
      <c r="I21" s="590"/>
      <c r="J21" s="590"/>
      <c r="K21" s="582"/>
      <c r="L21" s="582"/>
      <c r="M21" s="359">
        <v>0</v>
      </c>
      <c r="N21" s="357">
        <v>22</v>
      </c>
      <c r="O21" s="371">
        <v>662</v>
      </c>
      <c r="Q21" s="616"/>
      <c r="R21" s="371" t="s">
        <v>101</v>
      </c>
      <c r="S21" s="371">
        <v>662</v>
      </c>
      <c r="T21" s="195">
        <v>0.97</v>
      </c>
      <c r="U21" s="368">
        <v>290</v>
      </c>
      <c r="V21" s="107">
        <f t="shared" si="1"/>
        <v>186220.6</v>
      </c>
      <c r="W21" s="616"/>
      <c r="X21" s="590"/>
      <c r="Y21" s="590"/>
      <c r="Z21" s="590"/>
      <c r="AA21" s="582"/>
      <c r="AB21" s="582"/>
      <c r="AC21" s="370">
        <v>22</v>
      </c>
      <c r="AD21" s="369">
        <v>22</v>
      </c>
    </row>
    <row r="22" spans="1:30">
      <c r="A22" s="616" t="s">
        <v>238</v>
      </c>
      <c r="B22" s="358" t="s">
        <v>101</v>
      </c>
      <c r="C22" s="358">
        <v>0</v>
      </c>
      <c r="D22" s="195">
        <v>1.1299999999999999</v>
      </c>
      <c r="E22" s="356">
        <v>290</v>
      </c>
      <c r="F22" s="107">
        <f t="shared" si="0"/>
        <v>0</v>
      </c>
      <c r="G22" s="616">
        <v>3675</v>
      </c>
      <c r="H22" s="582">
        <v>7373</v>
      </c>
      <c r="I22" s="590">
        <v>710</v>
      </c>
      <c r="J22" s="590">
        <f>G22/H22*SUM(C22:C31)*I22</f>
        <v>0</v>
      </c>
      <c r="K22" s="582">
        <f>J22+SUM(F22:F31)</f>
        <v>0</v>
      </c>
      <c r="L22" s="582" t="e">
        <f>K22/SUM(C22:C31)</f>
        <v>#DIV/0!</v>
      </c>
      <c r="M22" s="359">
        <v>0</v>
      </c>
      <c r="N22" s="357">
        <v>50</v>
      </c>
      <c r="O22" s="371">
        <v>1500</v>
      </c>
      <c r="Q22" s="616" t="s">
        <v>238</v>
      </c>
      <c r="R22" s="371" t="s">
        <v>101</v>
      </c>
      <c r="S22" s="371">
        <v>1500</v>
      </c>
      <c r="T22" s="195">
        <v>1.1299999999999999</v>
      </c>
      <c r="U22" s="368">
        <v>290</v>
      </c>
      <c r="V22" s="107">
        <f t="shared" si="1"/>
        <v>491549.99999999994</v>
      </c>
      <c r="W22" s="616">
        <v>3675</v>
      </c>
      <c r="X22" s="582">
        <v>7373</v>
      </c>
      <c r="Y22" s="558">
        <v>710</v>
      </c>
      <c r="Z22" s="558">
        <f>W22/X22*SUM(S22:S31)*Y22</f>
        <v>2609250</v>
      </c>
      <c r="AA22" s="689">
        <f>Z22+SUM(V22:V31)</f>
        <v>5025382.0999999996</v>
      </c>
      <c r="AB22" s="582">
        <f>AA22/SUM(S22:S31)</f>
        <v>681.5925810389258</v>
      </c>
      <c r="AC22" s="370">
        <v>50</v>
      </c>
      <c r="AD22" s="369">
        <v>50</v>
      </c>
    </row>
    <row r="23" spans="1:30">
      <c r="A23" s="616"/>
      <c r="B23" s="358" t="s">
        <v>150</v>
      </c>
      <c r="C23" s="358">
        <v>0</v>
      </c>
      <c r="D23" s="195">
        <v>1.1299999999999999</v>
      </c>
      <c r="E23" s="356">
        <v>290</v>
      </c>
      <c r="F23" s="107">
        <f t="shared" si="0"/>
        <v>0</v>
      </c>
      <c r="G23" s="616"/>
      <c r="H23" s="582"/>
      <c r="I23" s="590"/>
      <c r="J23" s="590"/>
      <c r="K23" s="582"/>
      <c r="L23" s="582"/>
      <c r="M23" s="359">
        <v>0</v>
      </c>
      <c r="N23" s="357">
        <v>32</v>
      </c>
      <c r="O23" s="371">
        <v>956</v>
      </c>
      <c r="Q23" s="616"/>
      <c r="R23" s="371" t="s">
        <v>150</v>
      </c>
      <c r="S23" s="371">
        <v>956</v>
      </c>
      <c r="T23" s="195">
        <v>1.1299999999999999</v>
      </c>
      <c r="U23" s="368">
        <v>290</v>
      </c>
      <c r="V23" s="107">
        <f t="shared" si="1"/>
        <v>313281.2</v>
      </c>
      <c r="W23" s="616"/>
      <c r="X23" s="582"/>
      <c r="Y23" s="558"/>
      <c r="Z23" s="558"/>
      <c r="AA23" s="689"/>
      <c r="AB23" s="582"/>
      <c r="AC23" s="370">
        <v>32</v>
      </c>
      <c r="AD23" s="369">
        <v>32</v>
      </c>
    </row>
    <row r="24" spans="1:30">
      <c r="A24" s="616"/>
      <c r="B24" s="358" t="s">
        <v>245</v>
      </c>
      <c r="C24" s="358">
        <v>0</v>
      </c>
      <c r="D24" s="195">
        <v>1.1299999999999999</v>
      </c>
      <c r="E24" s="356">
        <v>290</v>
      </c>
      <c r="F24" s="107">
        <f t="shared" si="0"/>
        <v>0</v>
      </c>
      <c r="G24" s="616"/>
      <c r="H24" s="582"/>
      <c r="I24" s="590"/>
      <c r="J24" s="590"/>
      <c r="K24" s="582"/>
      <c r="L24" s="582"/>
      <c r="M24" s="215">
        <v>0</v>
      </c>
      <c r="N24" s="357">
        <v>34</v>
      </c>
      <c r="O24" s="371">
        <v>1040</v>
      </c>
      <c r="Q24" s="616"/>
      <c r="R24" s="371" t="s">
        <v>245</v>
      </c>
      <c r="S24" s="371">
        <v>1040</v>
      </c>
      <c r="T24" s="195">
        <v>1.1299999999999999</v>
      </c>
      <c r="U24" s="368">
        <v>290</v>
      </c>
      <c r="V24" s="107">
        <f t="shared" si="1"/>
        <v>340807.99999999994</v>
      </c>
      <c r="W24" s="616"/>
      <c r="X24" s="582"/>
      <c r="Y24" s="558"/>
      <c r="Z24" s="558"/>
      <c r="AA24" s="689"/>
      <c r="AB24" s="582"/>
      <c r="AC24" s="375">
        <v>34</v>
      </c>
      <c r="AD24" s="369">
        <v>34</v>
      </c>
    </row>
    <row r="25" spans="1:30">
      <c r="A25" s="616"/>
      <c r="B25" s="358" t="s">
        <v>95</v>
      </c>
      <c r="C25" s="358">
        <v>0</v>
      </c>
      <c r="D25" s="195">
        <v>1.1299999999999999</v>
      </c>
      <c r="E25" s="356">
        <v>290</v>
      </c>
      <c r="F25" s="107">
        <f t="shared" si="0"/>
        <v>0</v>
      </c>
      <c r="G25" s="616"/>
      <c r="H25" s="582"/>
      <c r="I25" s="590"/>
      <c r="J25" s="590"/>
      <c r="K25" s="582"/>
      <c r="L25" s="582"/>
      <c r="M25" s="340">
        <v>0</v>
      </c>
      <c r="N25" s="357">
        <v>25</v>
      </c>
      <c r="O25" s="371">
        <v>752</v>
      </c>
      <c r="Q25" s="616"/>
      <c r="R25" s="371" t="s">
        <v>95</v>
      </c>
      <c r="S25" s="371">
        <v>752</v>
      </c>
      <c r="T25" s="195">
        <v>1.1299999999999999</v>
      </c>
      <c r="U25" s="368">
        <v>290</v>
      </c>
      <c r="V25" s="107">
        <f t="shared" si="1"/>
        <v>246430.39999999997</v>
      </c>
      <c r="W25" s="616"/>
      <c r="X25" s="582"/>
      <c r="Y25" s="558"/>
      <c r="Z25" s="558"/>
      <c r="AA25" s="689"/>
      <c r="AB25" s="582"/>
      <c r="AC25" s="340">
        <v>25</v>
      </c>
      <c r="AD25" s="369">
        <v>25</v>
      </c>
    </row>
    <row r="26" spans="1:30">
      <c r="A26" s="616"/>
      <c r="B26" s="358" t="s">
        <v>102</v>
      </c>
      <c r="C26" s="358">
        <v>0</v>
      </c>
      <c r="D26" s="195">
        <v>1.1299999999999999</v>
      </c>
      <c r="E26" s="356">
        <v>290</v>
      </c>
      <c r="F26" s="107">
        <f t="shared" si="0"/>
        <v>0</v>
      </c>
      <c r="G26" s="616"/>
      <c r="H26" s="582"/>
      <c r="I26" s="590"/>
      <c r="J26" s="590"/>
      <c r="K26" s="582"/>
      <c r="L26" s="582"/>
      <c r="M26" s="355">
        <v>0</v>
      </c>
      <c r="N26" s="357">
        <v>25</v>
      </c>
      <c r="O26" s="371">
        <v>750</v>
      </c>
      <c r="Q26" s="616"/>
      <c r="R26" s="371" t="s">
        <v>102</v>
      </c>
      <c r="S26" s="371">
        <v>750</v>
      </c>
      <c r="T26" s="195">
        <v>1.1299999999999999</v>
      </c>
      <c r="U26" s="368">
        <v>290</v>
      </c>
      <c r="V26" s="107">
        <f t="shared" si="1"/>
        <v>245774.99999999997</v>
      </c>
      <c r="W26" s="616"/>
      <c r="X26" s="582"/>
      <c r="Y26" s="558"/>
      <c r="Z26" s="558"/>
      <c r="AA26" s="689"/>
      <c r="AB26" s="582"/>
      <c r="AC26" s="366">
        <v>25</v>
      </c>
      <c r="AD26" s="369">
        <v>25</v>
      </c>
    </row>
    <row r="27" spans="1:30">
      <c r="A27" s="616"/>
      <c r="B27" s="358" t="s">
        <v>114</v>
      </c>
      <c r="C27" s="358">
        <v>0</v>
      </c>
      <c r="D27" s="195">
        <v>1.1299999999999999</v>
      </c>
      <c r="E27" s="356">
        <v>290</v>
      </c>
      <c r="F27" s="107">
        <f t="shared" si="0"/>
        <v>0</v>
      </c>
      <c r="G27" s="616"/>
      <c r="H27" s="582"/>
      <c r="I27" s="590"/>
      <c r="J27" s="590"/>
      <c r="K27" s="582"/>
      <c r="L27" s="582"/>
      <c r="M27" s="355">
        <v>0</v>
      </c>
      <c r="N27" s="357">
        <v>17</v>
      </c>
      <c r="O27" s="371">
        <v>503</v>
      </c>
      <c r="Q27" s="616"/>
      <c r="R27" s="371" t="s">
        <v>114</v>
      </c>
      <c r="S27" s="371">
        <v>503</v>
      </c>
      <c r="T27" s="195">
        <v>1.1299999999999999</v>
      </c>
      <c r="U27" s="368">
        <v>290</v>
      </c>
      <c r="V27" s="107">
        <f t="shared" si="1"/>
        <v>164833.1</v>
      </c>
      <c r="W27" s="616"/>
      <c r="X27" s="582"/>
      <c r="Y27" s="558"/>
      <c r="Z27" s="558"/>
      <c r="AA27" s="689"/>
      <c r="AB27" s="582"/>
      <c r="AC27" s="366">
        <v>17</v>
      </c>
      <c r="AD27" s="369">
        <v>17</v>
      </c>
    </row>
    <row r="28" spans="1:30">
      <c r="A28" s="616"/>
      <c r="B28" s="358" t="s">
        <v>302</v>
      </c>
      <c r="C28" s="358">
        <v>0</v>
      </c>
      <c r="D28" s="195">
        <v>1.1299999999999999</v>
      </c>
      <c r="E28" s="356">
        <v>290</v>
      </c>
      <c r="F28" s="107">
        <f t="shared" si="0"/>
        <v>0</v>
      </c>
      <c r="G28" s="616"/>
      <c r="H28" s="582"/>
      <c r="I28" s="590"/>
      <c r="J28" s="590"/>
      <c r="K28" s="582"/>
      <c r="L28" s="582"/>
      <c r="M28" s="355">
        <v>0</v>
      </c>
      <c r="N28" s="357">
        <v>14</v>
      </c>
      <c r="O28" s="371">
        <v>420</v>
      </c>
      <c r="Q28" s="616"/>
      <c r="R28" s="371" t="s">
        <v>302</v>
      </c>
      <c r="S28" s="371">
        <v>420</v>
      </c>
      <c r="T28" s="195">
        <v>1.1299999999999999</v>
      </c>
      <c r="U28" s="368">
        <v>290</v>
      </c>
      <c r="V28" s="107">
        <f t="shared" si="1"/>
        <v>137634</v>
      </c>
      <c r="W28" s="616"/>
      <c r="X28" s="582"/>
      <c r="Y28" s="558"/>
      <c r="Z28" s="558"/>
      <c r="AA28" s="689"/>
      <c r="AB28" s="582"/>
      <c r="AC28" s="366">
        <v>14</v>
      </c>
      <c r="AD28" s="369">
        <v>14</v>
      </c>
    </row>
    <row r="29" spans="1:30">
      <c r="A29" s="616"/>
      <c r="B29" s="358" t="s">
        <v>307</v>
      </c>
      <c r="C29" s="358">
        <v>0</v>
      </c>
      <c r="D29" s="195">
        <v>1.1299999999999999</v>
      </c>
      <c r="E29" s="356">
        <v>290</v>
      </c>
      <c r="F29" s="107">
        <f t="shared" si="0"/>
        <v>0</v>
      </c>
      <c r="G29" s="616"/>
      <c r="H29" s="582"/>
      <c r="I29" s="590"/>
      <c r="J29" s="590"/>
      <c r="K29" s="582"/>
      <c r="L29" s="582"/>
      <c r="M29" s="355">
        <v>0</v>
      </c>
      <c r="N29" s="357">
        <v>13</v>
      </c>
      <c r="O29" s="371">
        <v>390</v>
      </c>
      <c r="Q29" s="616"/>
      <c r="R29" s="371" t="s">
        <v>307</v>
      </c>
      <c r="S29" s="371">
        <v>390</v>
      </c>
      <c r="T29" s="195">
        <v>1.1299999999999999</v>
      </c>
      <c r="U29" s="368">
        <v>290</v>
      </c>
      <c r="V29" s="107">
        <f t="shared" si="1"/>
        <v>127802.99999999999</v>
      </c>
      <c r="W29" s="616"/>
      <c r="X29" s="582"/>
      <c r="Y29" s="558"/>
      <c r="Z29" s="558"/>
      <c r="AA29" s="689"/>
      <c r="AB29" s="582"/>
      <c r="AC29" s="366">
        <v>13</v>
      </c>
      <c r="AD29" s="369">
        <v>13</v>
      </c>
    </row>
    <row r="30" spans="1:30">
      <c r="A30" s="616"/>
      <c r="B30" s="358" t="s">
        <v>318</v>
      </c>
      <c r="C30" s="358">
        <v>0</v>
      </c>
      <c r="D30" s="195">
        <v>1.1299999999999999</v>
      </c>
      <c r="E30" s="356">
        <v>290</v>
      </c>
      <c r="F30" s="107">
        <f t="shared" si="0"/>
        <v>0</v>
      </c>
      <c r="G30" s="616"/>
      <c r="H30" s="582"/>
      <c r="I30" s="590"/>
      <c r="J30" s="590"/>
      <c r="K30" s="582"/>
      <c r="L30" s="582"/>
      <c r="M30" s="355">
        <v>0</v>
      </c>
      <c r="N30" s="357">
        <v>15</v>
      </c>
      <c r="O30" s="371">
        <v>457</v>
      </c>
      <c r="Q30" s="616"/>
      <c r="R30" s="371" t="s">
        <v>318</v>
      </c>
      <c r="S30" s="371">
        <v>457</v>
      </c>
      <c r="T30" s="195">
        <v>1.1299999999999999</v>
      </c>
      <c r="U30" s="368">
        <v>290</v>
      </c>
      <c r="V30" s="107">
        <f t="shared" si="1"/>
        <v>149758.9</v>
      </c>
      <c r="W30" s="616"/>
      <c r="X30" s="582"/>
      <c r="Y30" s="558"/>
      <c r="Z30" s="558"/>
      <c r="AA30" s="689"/>
      <c r="AB30" s="582"/>
      <c r="AC30" s="366">
        <v>15</v>
      </c>
      <c r="AD30" s="369">
        <v>15</v>
      </c>
    </row>
    <row r="31" spans="1:30">
      <c r="A31" s="616"/>
      <c r="B31" s="358" t="s">
        <v>346</v>
      </c>
      <c r="C31" s="358">
        <v>0</v>
      </c>
      <c r="D31" s="195">
        <v>1.1299999999999999</v>
      </c>
      <c r="E31" s="356">
        <v>290</v>
      </c>
      <c r="F31" s="107">
        <f t="shared" si="0"/>
        <v>0</v>
      </c>
      <c r="G31" s="616"/>
      <c r="H31" s="582"/>
      <c r="I31" s="590"/>
      <c r="J31" s="590"/>
      <c r="K31" s="582"/>
      <c r="L31" s="582"/>
      <c r="M31" s="355">
        <v>0</v>
      </c>
      <c r="N31" s="357">
        <v>20</v>
      </c>
      <c r="O31" s="371">
        <v>605</v>
      </c>
      <c r="Q31" s="616"/>
      <c r="R31" s="371" t="s">
        <v>346</v>
      </c>
      <c r="S31" s="371">
        <v>605</v>
      </c>
      <c r="T31" s="195">
        <v>1.1299999999999999</v>
      </c>
      <c r="U31" s="368">
        <v>290</v>
      </c>
      <c r="V31" s="107">
        <f t="shared" si="1"/>
        <v>198258.5</v>
      </c>
      <c r="W31" s="616"/>
      <c r="X31" s="582"/>
      <c r="Y31" s="558"/>
      <c r="Z31" s="558"/>
      <c r="AA31" s="689"/>
      <c r="AB31" s="582"/>
      <c r="AC31" s="366">
        <v>20</v>
      </c>
      <c r="AD31" s="369">
        <v>20</v>
      </c>
    </row>
    <row r="32" spans="1:30">
      <c r="A32" s="355" t="s">
        <v>4</v>
      </c>
      <c r="B32" s="355"/>
      <c r="C32" s="355">
        <f>SUM(C3:C31)</f>
        <v>2670</v>
      </c>
      <c r="D32" s="355"/>
      <c r="E32" s="355"/>
      <c r="F32" s="215">
        <f>SUM(F3:F31)</f>
        <v>503295</v>
      </c>
      <c r="G32" s="355">
        <f>SUM(G3:G31)</f>
        <v>8445</v>
      </c>
      <c r="H32" s="355">
        <f>SUM(H3:H31)</f>
        <v>21428</v>
      </c>
      <c r="I32" s="355"/>
      <c r="J32" s="355">
        <f>SUM(J3:J31)</f>
        <v>645980.38043478259</v>
      </c>
      <c r="K32" s="215">
        <f>SUM(K3:K31)</f>
        <v>1149275.3804347827</v>
      </c>
      <c r="L32" s="355"/>
      <c r="M32" s="378">
        <f>SUM(M3:M31)</f>
        <v>89</v>
      </c>
      <c r="N32" s="355">
        <f>SUM(N3:N31)</f>
        <v>712</v>
      </c>
      <c r="O32" s="366">
        <f>SUM(O3:O31)</f>
        <v>21428</v>
      </c>
      <c r="Q32" s="366" t="s">
        <v>4</v>
      </c>
      <c r="R32" s="366"/>
      <c r="S32" s="366">
        <f>SUM(S3:S31)</f>
        <v>18758</v>
      </c>
      <c r="T32" s="366"/>
      <c r="U32" s="366"/>
      <c r="V32" s="375">
        <f>SUM(V3:V31)</f>
        <v>5354252.6000000006</v>
      </c>
      <c r="W32" s="366">
        <f>SUM(W3:W31)</f>
        <v>8445</v>
      </c>
      <c r="X32" s="366">
        <f>SUM(X3:X31)</f>
        <v>21428</v>
      </c>
      <c r="Y32" s="366"/>
      <c r="Z32" s="366">
        <f>SUM(Z3:Z31)</f>
        <v>5349969.6195652168</v>
      </c>
      <c r="AA32" s="375">
        <f>SUM(AA3:AA31)</f>
        <v>10704222.219565216</v>
      </c>
      <c r="AB32" s="366"/>
      <c r="AC32" s="378">
        <f>SUM(AC3:AC31)</f>
        <v>623</v>
      </c>
      <c r="AD32" s="366">
        <f>SUM(AD3:AD31)</f>
        <v>712</v>
      </c>
    </row>
    <row r="33" spans="1:30">
      <c r="A33" s="355"/>
      <c r="B33" s="355"/>
      <c r="C33" s="355"/>
      <c r="D33" s="355"/>
      <c r="E33" s="355"/>
      <c r="F33" s="644" t="s">
        <v>233</v>
      </c>
      <c r="G33" s="645"/>
      <c r="H33" s="215">
        <f>K32+K33</f>
        <v>1160768.1342391307</v>
      </c>
      <c r="I33" s="644" t="s">
        <v>232</v>
      </c>
      <c r="J33" s="645"/>
      <c r="K33" s="355">
        <f>K32*1%</f>
        <v>11492.753804347827</v>
      </c>
      <c r="L33" s="355"/>
      <c r="M33" s="355"/>
      <c r="N33" s="355"/>
      <c r="Q33" s="366"/>
      <c r="R33" s="366"/>
      <c r="S33" s="366"/>
      <c r="T33" s="366"/>
      <c r="U33" s="366"/>
      <c r="V33" s="644" t="s">
        <v>233</v>
      </c>
      <c r="W33" s="645"/>
      <c r="X33" s="375">
        <f>AA32+AA33</f>
        <v>10811264.441760868</v>
      </c>
      <c r="Y33" s="644" t="s">
        <v>232</v>
      </c>
      <c r="Z33" s="645"/>
      <c r="AA33" s="366">
        <f>AA32*1%</f>
        <v>107042.22219565217</v>
      </c>
      <c r="AB33" s="366"/>
      <c r="AC33" s="366"/>
      <c r="AD33" s="366"/>
    </row>
  </sheetData>
  <mergeCells count="48">
    <mergeCell ref="I33:J33"/>
    <mergeCell ref="F33:G33"/>
    <mergeCell ref="I22:I31"/>
    <mergeCell ref="J22:J31"/>
    <mergeCell ref="K22:K31"/>
    <mergeCell ref="L22:L31"/>
    <mergeCell ref="L15:L21"/>
    <mergeCell ref="K15:K21"/>
    <mergeCell ref="J15:J21"/>
    <mergeCell ref="I15:I21"/>
    <mergeCell ref="A22:A31"/>
    <mergeCell ref="A3:A14"/>
    <mergeCell ref="A15:A21"/>
    <mergeCell ref="I3:I14"/>
    <mergeCell ref="J3:J14"/>
    <mergeCell ref="G3:G14"/>
    <mergeCell ref="G15:G21"/>
    <mergeCell ref="G22:G31"/>
    <mergeCell ref="H3:H14"/>
    <mergeCell ref="H15:H21"/>
    <mergeCell ref="H22:H31"/>
    <mergeCell ref="K3:K14"/>
    <mergeCell ref="L3:L14"/>
    <mergeCell ref="A1:N1"/>
    <mergeCell ref="Q1:AD1"/>
    <mergeCell ref="Q3:Q14"/>
    <mergeCell ref="W3:W14"/>
    <mergeCell ref="X3:X14"/>
    <mergeCell ref="Y3:Y14"/>
    <mergeCell ref="Z3:Z14"/>
    <mergeCell ref="AA3:AA14"/>
    <mergeCell ref="AB3:AB14"/>
    <mergeCell ref="V33:W33"/>
    <mergeCell ref="Y33:Z33"/>
    <mergeCell ref="AA15:AA21"/>
    <mergeCell ref="AB15:AB21"/>
    <mergeCell ref="Q22:Q31"/>
    <mergeCell ref="W22:W31"/>
    <mergeCell ref="X22:X31"/>
    <mergeCell ref="Y22:Y31"/>
    <mergeCell ref="Z22:Z31"/>
    <mergeCell ref="AA22:AA31"/>
    <mergeCell ref="AB22:AB31"/>
    <mergeCell ref="Q15:Q21"/>
    <mergeCell ref="W15:W21"/>
    <mergeCell ref="X15:X21"/>
    <mergeCell ref="Y15:Y21"/>
    <mergeCell ref="Z15:Z21"/>
  </mergeCells>
  <pageMargins left="0.4" right="0.14000000000000001" top="0.75" bottom="0.34" header="0.15" footer="0.14000000000000001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M1" workbookViewId="0">
      <selection activeCell="AB15" sqref="AB15"/>
    </sheetView>
  </sheetViews>
  <sheetFormatPr defaultRowHeight="15"/>
  <cols>
    <col min="2" max="2" width="12.7109375" customWidth="1"/>
    <col min="6" max="6" width="8.5703125" customWidth="1"/>
    <col min="7" max="7" width="14.42578125" customWidth="1"/>
    <col min="8" max="8" width="10.28515625" customWidth="1"/>
    <col min="9" max="9" width="11.28515625" customWidth="1"/>
    <col min="10" max="10" width="10.140625" customWidth="1"/>
    <col min="16" max="16" width="12" customWidth="1"/>
    <col min="18" max="18" width="12.140625" customWidth="1"/>
  </cols>
  <sheetData>
    <row r="1" spans="1:30" ht="28.5">
      <c r="A1" s="605" t="s">
        <v>350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Q1" s="605" t="s">
        <v>336</v>
      </c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</row>
    <row r="2" spans="1:30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124</v>
      </c>
      <c r="O2" s="277" t="s">
        <v>333</v>
      </c>
      <c r="P2" s="277" t="s">
        <v>314</v>
      </c>
      <c r="Q2" s="100" t="s">
        <v>0</v>
      </c>
      <c r="R2" s="100" t="s">
        <v>140</v>
      </c>
      <c r="S2" s="101" t="s">
        <v>130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125</v>
      </c>
      <c r="AD2" s="105" t="s">
        <v>126</v>
      </c>
    </row>
    <row r="3" spans="1:30">
      <c r="A3" s="640" t="s">
        <v>240</v>
      </c>
      <c r="B3" s="383" t="s">
        <v>101</v>
      </c>
      <c r="C3" s="383">
        <v>230</v>
      </c>
      <c r="D3" s="383">
        <v>0.65</v>
      </c>
      <c r="E3" s="380">
        <v>285</v>
      </c>
      <c r="F3" s="107">
        <f>C3*D3*E3</f>
        <v>42607.5</v>
      </c>
      <c r="G3" s="640">
        <v>1877</v>
      </c>
      <c r="H3" s="624">
        <v>5594</v>
      </c>
      <c r="I3" s="590">
        <v>700</v>
      </c>
      <c r="J3" s="590">
        <f>G3/H3*SUM(C3:C14)*I3</f>
        <v>648729.31712549157</v>
      </c>
      <c r="K3" s="582">
        <f>J3+SUM(F3:F14)</f>
        <v>1160389.8171254916</v>
      </c>
      <c r="L3" s="582">
        <f>K3/SUM(C3:C14)</f>
        <v>420.12665355738289</v>
      </c>
      <c r="M3" s="388">
        <v>17</v>
      </c>
      <c r="N3" s="383">
        <v>8</v>
      </c>
      <c r="O3" s="387">
        <v>500</v>
      </c>
      <c r="P3">
        <f>O3-C3-S3</f>
        <v>0</v>
      </c>
      <c r="Q3" s="640" t="s">
        <v>240</v>
      </c>
      <c r="R3" s="399" t="s">
        <v>101</v>
      </c>
      <c r="S3" s="399">
        <f>O3-C3</f>
        <v>270</v>
      </c>
      <c r="T3" s="399">
        <v>0.65</v>
      </c>
      <c r="U3" s="396">
        <v>285</v>
      </c>
      <c r="V3" s="107">
        <f>S3*T3*U3</f>
        <v>50017.5</v>
      </c>
      <c r="W3" s="640">
        <v>1877</v>
      </c>
      <c r="X3" s="624">
        <v>5594</v>
      </c>
      <c r="Y3" s="590">
        <v>700</v>
      </c>
      <c r="Z3" s="590">
        <f>W3/X3*SUM(S3:S14)*Y3</f>
        <v>665170.68287450843</v>
      </c>
      <c r="AA3" s="582">
        <f>Z3+SUM(V3:V14)</f>
        <v>1189798.6828745084</v>
      </c>
      <c r="AB3" s="582">
        <f>AA3/SUM(S3:S14)</f>
        <v>420.12665355738289</v>
      </c>
      <c r="AC3" s="388">
        <v>17</v>
      </c>
      <c r="AD3" s="399">
        <f>AC3-N3</f>
        <v>9</v>
      </c>
    </row>
    <row r="4" spans="1:30" ht="12.75" customHeight="1">
      <c r="A4" s="640"/>
      <c r="B4" s="383" t="s">
        <v>150</v>
      </c>
      <c r="C4" s="387">
        <v>210</v>
      </c>
      <c r="D4" s="195">
        <v>0.65</v>
      </c>
      <c r="E4" s="380">
        <v>285</v>
      </c>
      <c r="F4" s="107">
        <f t="shared" ref="F4:F33" si="0">C4*D4*E4</f>
        <v>38902.5</v>
      </c>
      <c r="G4" s="640"/>
      <c r="H4" s="624"/>
      <c r="I4" s="590"/>
      <c r="J4" s="590"/>
      <c r="K4" s="582"/>
      <c r="L4" s="582"/>
      <c r="M4" s="388">
        <v>16</v>
      </c>
      <c r="N4" s="387">
        <v>7</v>
      </c>
      <c r="O4" s="387">
        <v>467</v>
      </c>
      <c r="P4">
        <f t="shared" ref="P4:P34" si="1">O4-C4-S4</f>
        <v>0</v>
      </c>
      <c r="Q4" s="640"/>
      <c r="R4" s="399" t="s">
        <v>150</v>
      </c>
      <c r="S4" s="399">
        <f t="shared" ref="S4:S14" si="2">O4-C4</f>
        <v>257</v>
      </c>
      <c r="T4" s="195">
        <v>0.65</v>
      </c>
      <c r="U4" s="396">
        <v>285</v>
      </c>
      <c r="V4" s="107">
        <f t="shared" ref="V4:V33" si="3">S4*T4*U4</f>
        <v>47609.25</v>
      </c>
      <c r="W4" s="640"/>
      <c r="X4" s="624"/>
      <c r="Y4" s="590"/>
      <c r="Z4" s="590"/>
      <c r="AA4" s="582"/>
      <c r="AB4" s="582"/>
      <c r="AC4" s="388">
        <v>16</v>
      </c>
      <c r="AD4" s="399">
        <f t="shared" ref="AD4:AD32" si="4">AC4-N4</f>
        <v>9</v>
      </c>
    </row>
    <row r="5" spans="1:30">
      <c r="A5" s="640"/>
      <c r="B5" s="389" t="s">
        <v>343</v>
      </c>
      <c r="C5" s="387">
        <v>240</v>
      </c>
      <c r="D5" s="195">
        <v>0.65</v>
      </c>
      <c r="E5" s="380">
        <v>285</v>
      </c>
      <c r="F5" s="107">
        <f t="shared" si="0"/>
        <v>44460</v>
      </c>
      <c r="G5" s="640"/>
      <c r="H5" s="624"/>
      <c r="I5" s="590"/>
      <c r="J5" s="590"/>
      <c r="K5" s="582"/>
      <c r="L5" s="582"/>
      <c r="M5" s="388">
        <v>16</v>
      </c>
      <c r="N5" s="387">
        <v>8</v>
      </c>
      <c r="O5" s="387">
        <v>494</v>
      </c>
      <c r="P5">
        <f t="shared" si="1"/>
        <v>0</v>
      </c>
      <c r="Q5" s="640"/>
      <c r="R5" s="400" t="s">
        <v>343</v>
      </c>
      <c r="S5" s="399">
        <f t="shared" si="2"/>
        <v>254</v>
      </c>
      <c r="T5" s="195">
        <v>0.65</v>
      </c>
      <c r="U5" s="396">
        <v>285</v>
      </c>
      <c r="V5" s="107">
        <f t="shared" si="3"/>
        <v>47053.5</v>
      </c>
      <c r="W5" s="640"/>
      <c r="X5" s="624"/>
      <c r="Y5" s="590"/>
      <c r="Z5" s="590"/>
      <c r="AA5" s="582"/>
      <c r="AB5" s="582"/>
      <c r="AC5" s="388">
        <v>16</v>
      </c>
      <c r="AD5" s="399">
        <f t="shared" si="4"/>
        <v>8</v>
      </c>
    </row>
    <row r="6" spans="1:30">
      <c r="A6" s="640"/>
      <c r="B6" s="382" t="s">
        <v>95</v>
      </c>
      <c r="C6" s="387">
        <v>270</v>
      </c>
      <c r="D6" s="195">
        <v>0.65</v>
      </c>
      <c r="E6" s="380">
        <v>285</v>
      </c>
      <c r="F6" s="107">
        <f t="shared" si="0"/>
        <v>50017.5</v>
      </c>
      <c r="G6" s="640"/>
      <c r="H6" s="624"/>
      <c r="I6" s="590"/>
      <c r="J6" s="590"/>
      <c r="K6" s="582"/>
      <c r="L6" s="582"/>
      <c r="M6" s="388">
        <v>17</v>
      </c>
      <c r="N6" s="387">
        <v>9</v>
      </c>
      <c r="O6" s="387">
        <v>521</v>
      </c>
      <c r="P6">
        <f t="shared" si="1"/>
        <v>0</v>
      </c>
      <c r="Q6" s="640"/>
      <c r="R6" s="398" t="s">
        <v>95</v>
      </c>
      <c r="S6" s="399">
        <f t="shared" si="2"/>
        <v>251</v>
      </c>
      <c r="T6" s="195">
        <v>0.65</v>
      </c>
      <c r="U6" s="396">
        <v>285</v>
      </c>
      <c r="V6" s="107">
        <f t="shared" si="3"/>
        <v>46497.75</v>
      </c>
      <c r="W6" s="640"/>
      <c r="X6" s="624"/>
      <c r="Y6" s="590"/>
      <c r="Z6" s="590"/>
      <c r="AA6" s="582"/>
      <c r="AB6" s="582"/>
      <c r="AC6" s="388">
        <v>17</v>
      </c>
      <c r="AD6" s="399">
        <f t="shared" si="4"/>
        <v>8</v>
      </c>
    </row>
    <row r="7" spans="1:30">
      <c r="A7" s="640"/>
      <c r="B7" s="382" t="s">
        <v>307</v>
      </c>
      <c r="C7" s="387">
        <v>270</v>
      </c>
      <c r="D7" s="195">
        <v>0.65</v>
      </c>
      <c r="E7" s="380">
        <v>285</v>
      </c>
      <c r="F7" s="107">
        <f t="shared" si="0"/>
        <v>50017.5</v>
      </c>
      <c r="G7" s="640"/>
      <c r="H7" s="624"/>
      <c r="I7" s="590"/>
      <c r="J7" s="590"/>
      <c r="K7" s="582"/>
      <c r="L7" s="582"/>
      <c r="M7" s="388">
        <v>17</v>
      </c>
      <c r="N7" s="387">
        <v>9</v>
      </c>
      <c r="O7" s="387">
        <v>521</v>
      </c>
      <c r="P7">
        <f t="shared" si="1"/>
        <v>0</v>
      </c>
      <c r="Q7" s="640"/>
      <c r="R7" s="398" t="s">
        <v>307</v>
      </c>
      <c r="S7" s="399">
        <f t="shared" si="2"/>
        <v>251</v>
      </c>
      <c r="T7" s="195">
        <v>0.65</v>
      </c>
      <c r="U7" s="396">
        <v>285</v>
      </c>
      <c r="V7" s="107">
        <f t="shared" si="3"/>
        <v>46497.75</v>
      </c>
      <c r="W7" s="640"/>
      <c r="X7" s="624"/>
      <c r="Y7" s="590"/>
      <c r="Z7" s="590"/>
      <c r="AA7" s="582"/>
      <c r="AB7" s="582"/>
      <c r="AC7" s="388">
        <v>17</v>
      </c>
      <c r="AD7" s="399">
        <f t="shared" si="4"/>
        <v>8</v>
      </c>
    </row>
    <row r="8" spans="1:30">
      <c r="A8" s="640"/>
      <c r="B8" s="381" t="s">
        <v>344</v>
      </c>
      <c r="C8" s="387">
        <v>240</v>
      </c>
      <c r="D8" s="383">
        <v>0.65</v>
      </c>
      <c r="E8" s="380">
        <v>285</v>
      </c>
      <c r="F8" s="107">
        <f t="shared" si="0"/>
        <v>44460</v>
      </c>
      <c r="G8" s="640"/>
      <c r="H8" s="624"/>
      <c r="I8" s="590"/>
      <c r="J8" s="590"/>
      <c r="K8" s="582"/>
      <c r="L8" s="582"/>
      <c r="M8" s="388">
        <v>16</v>
      </c>
      <c r="N8" s="387">
        <v>8</v>
      </c>
      <c r="O8" s="387">
        <v>505</v>
      </c>
      <c r="P8">
        <f t="shared" si="1"/>
        <v>0</v>
      </c>
      <c r="Q8" s="640"/>
      <c r="R8" s="397" t="s">
        <v>344</v>
      </c>
      <c r="S8" s="399">
        <f t="shared" si="2"/>
        <v>265</v>
      </c>
      <c r="T8" s="399">
        <v>0.65</v>
      </c>
      <c r="U8" s="396">
        <v>285</v>
      </c>
      <c r="V8" s="107">
        <f t="shared" si="3"/>
        <v>49091.25</v>
      </c>
      <c r="W8" s="640"/>
      <c r="X8" s="624"/>
      <c r="Y8" s="590"/>
      <c r="Z8" s="590"/>
      <c r="AA8" s="582"/>
      <c r="AB8" s="582"/>
      <c r="AC8" s="388">
        <v>16</v>
      </c>
      <c r="AD8" s="399">
        <f t="shared" si="4"/>
        <v>8</v>
      </c>
    </row>
    <row r="9" spans="1:30">
      <c r="A9" s="640"/>
      <c r="B9" s="381" t="s">
        <v>97</v>
      </c>
      <c r="C9" s="387">
        <v>150</v>
      </c>
      <c r="D9" s="195">
        <v>0.65</v>
      </c>
      <c r="E9" s="380">
        <v>285</v>
      </c>
      <c r="F9" s="107">
        <f t="shared" si="0"/>
        <v>27787.5</v>
      </c>
      <c r="G9" s="640"/>
      <c r="H9" s="624"/>
      <c r="I9" s="590"/>
      <c r="J9" s="590"/>
      <c r="K9" s="582"/>
      <c r="L9" s="582"/>
      <c r="M9" s="388">
        <v>10</v>
      </c>
      <c r="N9" s="387">
        <v>5</v>
      </c>
      <c r="O9" s="387">
        <v>304</v>
      </c>
      <c r="P9">
        <f t="shared" si="1"/>
        <v>0</v>
      </c>
      <c r="Q9" s="640"/>
      <c r="R9" s="397" t="s">
        <v>97</v>
      </c>
      <c r="S9" s="399">
        <f t="shared" si="2"/>
        <v>154</v>
      </c>
      <c r="T9" s="195">
        <v>0.65</v>
      </c>
      <c r="U9" s="396">
        <v>285</v>
      </c>
      <c r="V9" s="107">
        <f t="shared" si="3"/>
        <v>28528.500000000004</v>
      </c>
      <c r="W9" s="640"/>
      <c r="X9" s="624"/>
      <c r="Y9" s="590"/>
      <c r="Z9" s="590"/>
      <c r="AA9" s="582"/>
      <c r="AB9" s="582"/>
      <c r="AC9" s="388">
        <v>10</v>
      </c>
      <c r="AD9" s="399">
        <f t="shared" si="4"/>
        <v>5</v>
      </c>
    </row>
    <row r="10" spans="1:30">
      <c r="A10" s="640"/>
      <c r="B10" s="381" t="s">
        <v>283</v>
      </c>
      <c r="C10" s="387">
        <v>180</v>
      </c>
      <c r="D10" s="195">
        <v>0.65</v>
      </c>
      <c r="E10" s="380">
        <v>285</v>
      </c>
      <c r="F10" s="107">
        <f t="shared" si="0"/>
        <v>33345</v>
      </c>
      <c r="G10" s="640"/>
      <c r="H10" s="624"/>
      <c r="I10" s="590"/>
      <c r="J10" s="590"/>
      <c r="K10" s="582"/>
      <c r="L10" s="582"/>
      <c r="M10" s="388">
        <v>11</v>
      </c>
      <c r="N10" s="387">
        <v>6</v>
      </c>
      <c r="O10" s="387">
        <v>349</v>
      </c>
      <c r="P10">
        <f t="shared" si="1"/>
        <v>0</v>
      </c>
      <c r="Q10" s="640"/>
      <c r="R10" s="397" t="s">
        <v>283</v>
      </c>
      <c r="S10" s="399">
        <f t="shared" si="2"/>
        <v>169</v>
      </c>
      <c r="T10" s="195">
        <v>0.65</v>
      </c>
      <c r="U10" s="396">
        <v>285</v>
      </c>
      <c r="V10" s="107">
        <f t="shared" si="3"/>
        <v>31307.250000000004</v>
      </c>
      <c r="W10" s="640"/>
      <c r="X10" s="624"/>
      <c r="Y10" s="590"/>
      <c r="Z10" s="590"/>
      <c r="AA10" s="582"/>
      <c r="AB10" s="582"/>
      <c r="AC10" s="388">
        <v>11</v>
      </c>
      <c r="AD10" s="399">
        <f t="shared" si="4"/>
        <v>5</v>
      </c>
    </row>
    <row r="11" spans="1:30">
      <c r="A11" s="640"/>
      <c r="B11" s="381" t="s">
        <v>299</v>
      </c>
      <c r="C11" s="387">
        <v>252</v>
      </c>
      <c r="D11" s="195">
        <v>0.65</v>
      </c>
      <c r="E11" s="380">
        <v>285</v>
      </c>
      <c r="F11" s="107">
        <f t="shared" si="0"/>
        <v>46683</v>
      </c>
      <c r="G11" s="640"/>
      <c r="H11" s="624"/>
      <c r="I11" s="590"/>
      <c r="J11" s="590"/>
      <c r="K11" s="582"/>
      <c r="L11" s="582"/>
      <c r="M11" s="388">
        <v>16</v>
      </c>
      <c r="N11" s="387">
        <v>8</v>
      </c>
      <c r="O11" s="387">
        <v>492</v>
      </c>
      <c r="P11">
        <f t="shared" si="1"/>
        <v>0</v>
      </c>
      <c r="Q11" s="640"/>
      <c r="R11" s="397" t="s">
        <v>299</v>
      </c>
      <c r="S11" s="399">
        <f t="shared" si="2"/>
        <v>240</v>
      </c>
      <c r="T11" s="195">
        <v>0.65</v>
      </c>
      <c r="U11" s="396">
        <v>285</v>
      </c>
      <c r="V11" s="107">
        <f t="shared" si="3"/>
        <v>44460</v>
      </c>
      <c r="W11" s="640"/>
      <c r="X11" s="624"/>
      <c r="Y11" s="590"/>
      <c r="Z11" s="590"/>
      <c r="AA11" s="582"/>
      <c r="AB11" s="582"/>
      <c r="AC11" s="388">
        <v>16</v>
      </c>
      <c r="AD11" s="399">
        <f t="shared" si="4"/>
        <v>8</v>
      </c>
    </row>
    <row r="12" spans="1:30">
      <c r="A12" s="640"/>
      <c r="B12" s="381" t="s">
        <v>151</v>
      </c>
      <c r="C12" s="387">
        <v>240</v>
      </c>
      <c r="D12" s="195">
        <v>0.65</v>
      </c>
      <c r="E12" s="380">
        <v>285</v>
      </c>
      <c r="F12" s="107">
        <f t="shared" si="0"/>
        <v>44460</v>
      </c>
      <c r="G12" s="640"/>
      <c r="H12" s="624"/>
      <c r="I12" s="590"/>
      <c r="J12" s="590"/>
      <c r="K12" s="582"/>
      <c r="L12" s="582"/>
      <c r="M12" s="388">
        <v>16</v>
      </c>
      <c r="N12" s="387">
        <v>8</v>
      </c>
      <c r="O12" s="387">
        <v>487</v>
      </c>
      <c r="P12">
        <f t="shared" si="1"/>
        <v>0</v>
      </c>
      <c r="Q12" s="640"/>
      <c r="R12" s="397" t="s">
        <v>151</v>
      </c>
      <c r="S12" s="399">
        <f t="shared" si="2"/>
        <v>247</v>
      </c>
      <c r="T12" s="195">
        <v>0.65</v>
      </c>
      <c r="U12" s="396">
        <v>285</v>
      </c>
      <c r="V12" s="107">
        <f t="shared" si="3"/>
        <v>45756.75</v>
      </c>
      <c r="W12" s="640"/>
      <c r="X12" s="624"/>
      <c r="Y12" s="590"/>
      <c r="Z12" s="590"/>
      <c r="AA12" s="582"/>
      <c r="AB12" s="582"/>
      <c r="AC12" s="388">
        <v>16</v>
      </c>
      <c r="AD12" s="399">
        <f t="shared" si="4"/>
        <v>8</v>
      </c>
    </row>
    <row r="13" spans="1:30">
      <c r="A13" s="640"/>
      <c r="B13" s="381" t="s">
        <v>302</v>
      </c>
      <c r="C13" s="387">
        <v>240</v>
      </c>
      <c r="D13" s="383">
        <v>0.65</v>
      </c>
      <c r="E13" s="380">
        <v>285</v>
      </c>
      <c r="F13" s="107">
        <f t="shared" si="0"/>
        <v>44460</v>
      </c>
      <c r="G13" s="640"/>
      <c r="H13" s="624"/>
      <c r="I13" s="590"/>
      <c r="J13" s="590"/>
      <c r="K13" s="582"/>
      <c r="L13" s="582"/>
      <c r="M13" s="388">
        <v>16</v>
      </c>
      <c r="N13" s="387">
        <v>8</v>
      </c>
      <c r="O13" s="387">
        <v>469</v>
      </c>
      <c r="P13">
        <f t="shared" si="1"/>
        <v>0</v>
      </c>
      <c r="Q13" s="640"/>
      <c r="R13" s="397" t="s">
        <v>302</v>
      </c>
      <c r="S13" s="399">
        <f t="shared" si="2"/>
        <v>229</v>
      </c>
      <c r="T13" s="399">
        <v>0.65</v>
      </c>
      <c r="U13" s="396">
        <v>285</v>
      </c>
      <c r="V13" s="107">
        <f t="shared" si="3"/>
        <v>42422.25</v>
      </c>
      <c r="W13" s="640"/>
      <c r="X13" s="624"/>
      <c r="Y13" s="590"/>
      <c r="Z13" s="590"/>
      <c r="AA13" s="582"/>
      <c r="AB13" s="582"/>
      <c r="AC13" s="388">
        <v>16</v>
      </c>
      <c r="AD13" s="399">
        <f t="shared" si="4"/>
        <v>8</v>
      </c>
    </row>
    <row r="14" spans="1:30">
      <c r="A14" s="640"/>
      <c r="B14" s="381" t="s">
        <v>345</v>
      </c>
      <c r="C14" s="387">
        <v>240</v>
      </c>
      <c r="D14" s="195">
        <v>0.65</v>
      </c>
      <c r="E14" s="380">
        <v>285</v>
      </c>
      <c r="F14" s="107">
        <f t="shared" si="0"/>
        <v>44460</v>
      </c>
      <c r="G14" s="640"/>
      <c r="H14" s="624"/>
      <c r="I14" s="590"/>
      <c r="J14" s="590"/>
      <c r="K14" s="582"/>
      <c r="L14" s="582"/>
      <c r="M14" s="388">
        <v>16</v>
      </c>
      <c r="N14" s="387">
        <v>8</v>
      </c>
      <c r="O14" s="387">
        <v>485</v>
      </c>
      <c r="P14">
        <f t="shared" si="1"/>
        <v>0</v>
      </c>
      <c r="Q14" s="640"/>
      <c r="R14" s="397" t="s">
        <v>345</v>
      </c>
      <c r="S14" s="399">
        <f t="shared" si="2"/>
        <v>245</v>
      </c>
      <c r="T14" s="195">
        <v>0.65</v>
      </c>
      <c r="U14" s="396">
        <v>285</v>
      </c>
      <c r="V14" s="107">
        <f t="shared" si="3"/>
        <v>45386.25</v>
      </c>
      <c r="W14" s="640"/>
      <c r="X14" s="624"/>
      <c r="Y14" s="590"/>
      <c r="Z14" s="590"/>
      <c r="AA14" s="582"/>
      <c r="AB14" s="582"/>
      <c r="AC14" s="388">
        <v>16</v>
      </c>
      <c r="AD14" s="399">
        <f t="shared" si="4"/>
        <v>8</v>
      </c>
    </row>
    <row r="15" spans="1:30" ht="15" customHeight="1">
      <c r="A15" s="381" t="s">
        <v>348</v>
      </c>
      <c r="B15" s="381" t="s">
        <v>188</v>
      </c>
      <c r="C15" s="382">
        <v>780</v>
      </c>
      <c r="D15" s="195">
        <v>1.45</v>
      </c>
      <c r="E15" s="380">
        <v>285</v>
      </c>
      <c r="F15" s="107">
        <f t="shared" si="0"/>
        <v>322335</v>
      </c>
      <c r="G15" s="382">
        <v>2023</v>
      </c>
      <c r="H15" s="380">
        <v>1950</v>
      </c>
      <c r="I15" s="380">
        <v>500</v>
      </c>
      <c r="J15" s="380">
        <f>G15/H15*SUM(C15:C15)*I15</f>
        <v>404600</v>
      </c>
      <c r="K15" s="379">
        <f>J15+SUM(F15:F15)</f>
        <v>726935</v>
      </c>
      <c r="L15" s="379">
        <f>K15/SUM(C15:C15)</f>
        <v>931.96794871794873</v>
      </c>
      <c r="M15" s="388">
        <v>65</v>
      </c>
      <c r="N15" s="387">
        <v>26</v>
      </c>
      <c r="O15" s="386">
        <v>1950</v>
      </c>
      <c r="P15">
        <f t="shared" si="1"/>
        <v>0</v>
      </c>
      <c r="Q15" s="397" t="s">
        <v>348</v>
      </c>
      <c r="R15" s="397" t="s">
        <v>188</v>
      </c>
      <c r="S15" s="398">
        <f>O15-C15</f>
        <v>1170</v>
      </c>
      <c r="T15" s="195">
        <v>1.45</v>
      </c>
      <c r="U15" s="396">
        <v>285</v>
      </c>
      <c r="V15" s="107">
        <f t="shared" si="3"/>
        <v>483502.5</v>
      </c>
      <c r="W15" s="398">
        <v>2023</v>
      </c>
      <c r="X15" s="396">
        <v>1950</v>
      </c>
      <c r="Y15" s="396">
        <v>500</v>
      </c>
      <c r="Z15" s="396">
        <f>W15/X15*SUM(S15:S15)*Y15</f>
        <v>606900</v>
      </c>
      <c r="AA15" s="395">
        <f>Z15+SUM(V15:V15)</f>
        <v>1090402.5</v>
      </c>
      <c r="AB15" s="395">
        <f>AA15/SUM(S15:S15)</f>
        <v>931.96794871794873</v>
      </c>
      <c r="AC15" s="388">
        <v>65</v>
      </c>
      <c r="AD15" s="399">
        <f t="shared" si="4"/>
        <v>39</v>
      </c>
    </row>
    <row r="16" spans="1:30">
      <c r="A16" s="616" t="s">
        <v>238</v>
      </c>
      <c r="B16" s="382" t="s">
        <v>101</v>
      </c>
      <c r="C16" s="386">
        <v>630</v>
      </c>
      <c r="D16" s="195">
        <v>1.1299999999999999</v>
      </c>
      <c r="E16" s="380">
        <v>285</v>
      </c>
      <c r="F16" s="107">
        <f t="shared" si="0"/>
        <v>202891.5</v>
      </c>
      <c r="G16" s="624">
        <v>3735</v>
      </c>
      <c r="H16" s="582">
        <v>7490</v>
      </c>
      <c r="I16" s="590">
        <v>700</v>
      </c>
      <c r="J16" s="540">
        <f>G16/H16*SUM(C16:C25)*I16</f>
        <v>1026252.3364485981</v>
      </c>
      <c r="K16" s="582">
        <f>J16+SUM(F16:F25)</f>
        <v>1973079.3364485982</v>
      </c>
      <c r="L16" s="582">
        <f>K16/SUM(C16:C25)</f>
        <v>671.11542056074768</v>
      </c>
      <c r="M16" s="388">
        <v>53</v>
      </c>
      <c r="N16" s="387">
        <v>21</v>
      </c>
      <c r="O16" s="386">
        <v>1590</v>
      </c>
      <c r="P16">
        <f t="shared" si="1"/>
        <v>0</v>
      </c>
      <c r="Q16" s="616" t="s">
        <v>238</v>
      </c>
      <c r="R16" s="398" t="s">
        <v>101</v>
      </c>
      <c r="S16" s="398">
        <f t="shared" ref="S16:S30" si="5">O16-C16</f>
        <v>960</v>
      </c>
      <c r="T16" s="195">
        <v>1.1299999999999999</v>
      </c>
      <c r="U16" s="396">
        <v>285</v>
      </c>
      <c r="V16" s="107">
        <f t="shared" si="3"/>
        <v>309168</v>
      </c>
      <c r="W16" s="624">
        <v>3735</v>
      </c>
      <c r="X16" s="582">
        <v>7490</v>
      </c>
      <c r="Y16" s="590">
        <v>700</v>
      </c>
      <c r="Z16" s="590">
        <f>W16/X16*SUM(S16:S25)*Y16</f>
        <v>1567303.7383177569</v>
      </c>
      <c r="AA16" s="582">
        <f>Z16+SUM(V16:V25)</f>
        <v>3013308.2383177569</v>
      </c>
      <c r="AB16" s="582">
        <f>AA16/SUM(S16:S25)</f>
        <v>671.11542056074768</v>
      </c>
      <c r="AC16" s="388">
        <v>53</v>
      </c>
      <c r="AD16" s="399">
        <f t="shared" si="4"/>
        <v>32</v>
      </c>
    </row>
    <row r="17" spans="1:30">
      <c r="A17" s="616"/>
      <c r="B17" s="382" t="s">
        <v>150</v>
      </c>
      <c r="C17" s="386">
        <v>390</v>
      </c>
      <c r="D17" s="195">
        <v>1.1299999999999999</v>
      </c>
      <c r="E17" s="380">
        <v>285</v>
      </c>
      <c r="F17" s="107">
        <f t="shared" si="0"/>
        <v>125599.49999999999</v>
      </c>
      <c r="G17" s="624"/>
      <c r="H17" s="582"/>
      <c r="I17" s="590"/>
      <c r="J17" s="549"/>
      <c r="K17" s="582"/>
      <c r="L17" s="582"/>
      <c r="M17" s="388">
        <v>33</v>
      </c>
      <c r="N17" s="387">
        <v>13</v>
      </c>
      <c r="O17" s="386">
        <v>990</v>
      </c>
      <c r="P17">
        <f t="shared" si="1"/>
        <v>60</v>
      </c>
      <c r="Q17" s="616"/>
      <c r="R17" s="398" t="s">
        <v>150</v>
      </c>
      <c r="S17" s="398">
        <v>540</v>
      </c>
      <c r="T17" s="195">
        <v>1.1299999999999999</v>
      </c>
      <c r="U17" s="396">
        <v>285</v>
      </c>
      <c r="V17" s="107">
        <f t="shared" si="3"/>
        <v>173906.99999999997</v>
      </c>
      <c r="W17" s="624"/>
      <c r="X17" s="582"/>
      <c r="Y17" s="590"/>
      <c r="Z17" s="590"/>
      <c r="AA17" s="582"/>
      <c r="AB17" s="582"/>
      <c r="AC17" s="388">
        <v>33</v>
      </c>
      <c r="AD17" s="399">
        <v>18</v>
      </c>
    </row>
    <row r="18" spans="1:30">
      <c r="A18" s="616"/>
      <c r="B18" s="382" t="s">
        <v>245</v>
      </c>
      <c r="C18" s="386">
        <v>420</v>
      </c>
      <c r="D18" s="195">
        <v>1.1299999999999999</v>
      </c>
      <c r="E18" s="380">
        <v>285</v>
      </c>
      <c r="F18" s="107">
        <f t="shared" si="0"/>
        <v>135261</v>
      </c>
      <c r="G18" s="624"/>
      <c r="H18" s="582"/>
      <c r="I18" s="590"/>
      <c r="J18" s="549"/>
      <c r="K18" s="582"/>
      <c r="L18" s="582"/>
      <c r="M18" s="388">
        <v>33</v>
      </c>
      <c r="N18" s="387">
        <v>14</v>
      </c>
      <c r="O18" s="386">
        <v>1050</v>
      </c>
      <c r="P18">
        <f t="shared" si="1"/>
        <v>0</v>
      </c>
      <c r="Q18" s="616"/>
      <c r="R18" s="398" t="s">
        <v>245</v>
      </c>
      <c r="S18" s="398">
        <f t="shared" si="5"/>
        <v>630</v>
      </c>
      <c r="T18" s="195">
        <v>1.1299999999999999</v>
      </c>
      <c r="U18" s="396">
        <v>285</v>
      </c>
      <c r="V18" s="107">
        <f t="shared" si="3"/>
        <v>202891.5</v>
      </c>
      <c r="W18" s="624"/>
      <c r="X18" s="582"/>
      <c r="Y18" s="590"/>
      <c r="Z18" s="590"/>
      <c r="AA18" s="582"/>
      <c r="AB18" s="582"/>
      <c r="AC18" s="388">
        <v>33</v>
      </c>
      <c r="AD18" s="399">
        <f t="shared" si="4"/>
        <v>19</v>
      </c>
    </row>
    <row r="19" spans="1:30">
      <c r="A19" s="616"/>
      <c r="B19" s="382" t="s">
        <v>95</v>
      </c>
      <c r="C19" s="386">
        <v>330</v>
      </c>
      <c r="D19" s="195">
        <v>1.1299999999999999</v>
      </c>
      <c r="E19" s="380">
        <v>285</v>
      </c>
      <c r="F19" s="107">
        <f t="shared" si="0"/>
        <v>106276.5</v>
      </c>
      <c r="G19" s="624"/>
      <c r="H19" s="582"/>
      <c r="I19" s="590"/>
      <c r="J19" s="549"/>
      <c r="K19" s="582"/>
      <c r="L19" s="582"/>
      <c r="M19" s="388">
        <v>29</v>
      </c>
      <c r="N19" s="387">
        <v>11</v>
      </c>
      <c r="O19" s="386">
        <v>870</v>
      </c>
      <c r="P19">
        <f t="shared" si="1"/>
        <v>0</v>
      </c>
      <c r="Q19" s="616"/>
      <c r="R19" s="398" t="s">
        <v>95</v>
      </c>
      <c r="S19" s="398">
        <f t="shared" si="5"/>
        <v>540</v>
      </c>
      <c r="T19" s="195">
        <v>1.1299999999999999</v>
      </c>
      <c r="U19" s="396">
        <v>285</v>
      </c>
      <c r="V19" s="107">
        <f t="shared" si="3"/>
        <v>173906.99999999997</v>
      </c>
      <c r="W19" s="624"/>
      <c r="X19" s="582"/>
      <c r="Y19" s="590"/>
      <c r="Z19" s="590"/>
      <c r="AA19" s="582"/>
      <c r="AB19" s="582"/>
      <c r="AC19" s="388">
        <v>29</v>
      </c>
      <c r="AD19" s="399">
        <f t="shared" si="4"/>
        <v>18</v>
      </c>
    </row>
    <row r="20" spans="1:30">
      <c r="A20" s="616"/>
      <c r="B20" s="382" t="s">
        <v>102</v>
      </c>
      <c r="C20" s="386">
        <v>300</v>
      </c>
      <c r="D20" s="195">
        <v>1.1299999999999999</v>
      </c>
      <c r="E20" s="380">
        <v>285</v>
      </c>
      <c r="F20" s="107">
        <f t="shared" si="0"/>
        <v>96614.999999999985</v>
      </c>
      <c r="G20" s="624"/>
      <c r="H20" s="582"/>
      <c r="I20" s="590"/>
      <c r="J20" s="549"/>
      <c r="K20" s="582"/>
      <c r="L20" s="582"/>
      <c r="M20" s="388">
        <v>26</v>
      </c>
      <c r="N20" s="387">
        <v>10</v>
      </c>
      <c r="O20" s="386">
        <v>790</v>
      </c>
      <c r="P20">
        <f t="shared" si="1"/>
        <v>0</v>
      </c>
      <c r="Q20" s="616"/>
      <c r="R20" s="398" t="s">
        <v>102</v>
      </c>
      <c r="S20" s="398">
        <f t="shared" si="5"/>
        <v>490</v>
      </c>
      <c r="T20" s="195">
        <v>1.1299999999999999</v>
      </c>
      <c r="U20" s="396">
        <v>285</v>
      </c>
      <c r="V20" s="107">
        <f t="shared" si="3"/>
        <v>157804.49999999997</v>
      </c>
      <c r="W20" s="624"/>
      <c r="X20" s="582"/>
      <c r="Y20" s="590"/>
      <c r="Z20" s="590"/>
      <c r="AA20" s="582"/>
      <c r="AB20" s="582"/>
      <c r="AC20" s="388">
        <v>26</v>
      </c>
      <c r="AD20" s="399">
        <f t="shared" si="4"/>
        <v>16</v>
      </c>
    </row>
    <row r="21" spans="1:30">
      <c r="A21" s="616"/>
      <c r="B21" s="382" t="s">
        <v>114</v>
      </c>
      <c r="C21" s="386">
        <v>180</v>
      </c>
      <c r="D21" s="195">
        <v>1.1299999999999999</v>
      </c>
      <c r="E21" s="380">
        <v>285</v>
      </c>
      <c r="F21" s="107">
        <f t="shared" si="0"/>
        <v>57968.999999999993</v>
      </c>
      <c r="G21" s="624"/>
      <c r="H21" s="582"/>
      <c r="I21" s="590"/>
      <c r="J21" s="549"/>
      <c r="K21" s="582"/>
      <c r="L21" s="582"/>
      <c r="M21" s="388">
        <v>17</v>
      </c>
      <c r="N21" s="387">
        <v>6</v>
      </c>
      <c r="O21" s="386">
        <v>510</v>
      </c>
      <c r="P21">
        <f t="shared" si="1"/>
        <v>0</v>
      </c>
      <c r="Q21" s="616"/>
      <c r="R21" s="398" t="s">
        <v>114</v>
      </c>
      <c r="S21" s="398">
        <f t="shared" si="5"/>
        <v>330</v>
      </c>
      <c r="T21" s="195">
        <v>1.1299999999999999</v>
      </c>
      <c r="U21" s="396">
        <v>285</v>
      </c>
      <c r="V21" s="107">
        <f t="shared" si="3"/>
        <v>106276.5</v>
      </c>
      <c r="W21" s="624"/>
      <c r="X21" s="582"/>
      <c r="Y21" s="590"/>
      <c r="Z21" s="590"/>
      <c r="AA21" s="582"/>
      <c r="AB21" s="582"/>
      <c r="AC21" s="388">
        <v>17</v>
      </c>
      <c r="AD21" s="399">
        <f t="shared" si="4"/>
        <v>11</v>
      </c>
    </row>
    <row r="22" spans="1:30" ht="15" customHeight="1">
      <c r="A22" s="616"/>
      <c r="B22" s="382" t="s">
        <v>302</v>
      </c>
      <c r="C22" s="386">
        <v>150</v>
      </c>
      <c r="D22" s="195">
        <v>1.1299999999999999</v>
      </c>
      <c r="E22" s="380">
        <v>285</v>
      </c>
      <c r="F22" s="107">
        <f t="shared" si="0"/>
        <v>48307.499999999993</v>
      </c>
      <c r="G22" s="624"/>
      <c r="H22" s="582"/>
      <c r="I22" s="590"/>
      <c r="J22" s="549"/>
      <c r="K22" s="582"/>
      <c r="L22" s="582"/>
      <c r="M22" s="388">
        <v>12</v>
      </c>
      <c r="N22" s="387">
        <v>5</v>
      </c>
      <c r="O22" s="386">
        <v>377</v>
      </c>
      <c r="P22">
        <f t="shared" si="1"/>
        <v>0</v>
      </c>
      <c r="Q22" s="616"/>
      <c r="R22" s="398" t="s">
        <v>302</v>
      </c>
      <c r="S22" s="398">
        <f t="shared" si="5"/>
        <v>227</v>
      </c>
      <c r="T22" s="195">
        <v>1.1299999999999999</v>
      </c>
      <c r="U22" s="396">
        <v>285</v>
      </c>
      <c r="V22" s="107">
        <f t="shared" si="3"/>
        <v>73105.349999999991</v>
      </c>
      <c r="W22" s="624"/>
      <c r="X22" s="582"/>
      <c r="Y22" s="590"/>
      <c r="Z22" s="590"/>
      <c r="AA22" s="582"/>
      <c r="AB22" s="582"/>
      <c r="AC22" s="388">
        <v>12</v>
      </c>
      <c r="AD22" s="399">
        <f t="shared" si="4"/>
        <v>7</v>
      </c>
    </row>
    <row r="23" spans="1:30">
      <c r="A23" s="616"/>
      <c r="B23" s="382" t="s">
        <v>307</v>
      </c>
      <c r="C23" s="386">
        <v>150</v>
      </c>
      <c r="D23" s="195">
        <v>1.1299999999999999</v>
      </c>
      <c r="E23" s="380">
        <v>285</v>
      </c>
      <c r="F23" s="107">
        <f t="shared" si="0"/>
        <v>48307.499999999993</v>
      </c>
      <c r="G23" s="624"/>
      <c r="H23" s="582"/>
      <c r="I23" s="590"/>
      <c r="J23" s="549"/>
      <c r="K23" s="582"/>
      <c r="L23" s="582"/>
      <c r="M23" s="388">
        <v>12</v>
      </c>
      <c r="N23" s="387">
        <v>5</v>
      </c>
      <c r="O23" s="386">
        <v>353</v>
      </c>
      <c r="P23">
        <f t="shared" si="1"/>
        <v>0</v>
      </c>
      <c r="Q23" s="616"/>
      <c r="R23" s="398" t="s">
        <v>307</v>
      </c>
      <c r="S23" s="398">
        <f t="shared" si="5"/>
        <v>203</v>
      </c>
      <c r="T23" s="195">
        <v>1.1299999999999999</v>
      </c>
      <c r="U23" s="396">
        <v>285</v>
      </c>
      <c r="V23" s="107">
        <f t="shared" si="3"/>
        <v>65376.149999999994</v>
      </c>
      <c r="W23" s="624"/>
      <c r="X23" s="582"/>
      <c r="Y23" s="590"/>
      <c r="Z23" s="590"/>
      <c r="AA23" s="582"/>
      <c r="AB23" s="582"/>
      <c r="AC23" s="388">
        <v>12</v>
      </c>
      <c r="AD23" s="399">
        <f t="shared" si="4"/>
        <v>7</v>
      </c>
    </row>
    <row r="24" spans="1:30">
      <c r="A24" s="616"/>
      <c r="B24" s="382" t="s">
        <v>318</v>
      </c>
      <c r="C24" s="386">
        <v>150</v>
      </c>
      <c r="D24" s="195">
        <v>1.1299999999999999</v>
      </c>
      <c r="E24" s="380">
        <v>285</v>
      </c>
      <c r="F24" s="107">
        <f t="shared" si="0"/>
        <v>48307.499999999993</v>
      </c>
      <c r="G24" s="624"/>
      <c r="H24" s="582"/>
      <c r="I24" s="590"/>
      <c r="J24" s="549"/>
      <c r="K24" s="582"/>
      <c r="L24" s="582"/>
      <c r="M24" s="388">
        <v>12</v>
      </c>
      <c r="N24" s="387">
        <v>5</v>
      </c>
      <c r="O24" s="386">
        <v>360</v>
      </c>
      <c r="P24">
        <f t="shared" si="1"/>
        <v>0</v>
      </c>
      <c r="Q24" s="616"/>
      <c r="R24" s="398" t="s">
        <v>318</v>
      </c>
      <c r="S24" s="398">
        <f t="shared" si="5"/>
        <v>210</v>
      </c>
      <c r="T24" s="195">
        <v>1.1299999999999999</v>
      </c>
      <c r="U24" s="396">
        <v>285</v>
      </c>
      <c r="V24" s="107">
        <f t="shared" si="3"/>
        <v>67630.5</v>
      </c>
      <c r="W24" s="624"/>
      <c r="X24" s="582"/>
      <c r="Y24" s="590"/>
      <c r="Z24" s="590"/>
      <c r="AA24" s="582"/>
      <c r="AB24" s="582"/>
      <c r="AC24" s="388">
        <v>12</v>
      </c>
      <c r="AD24" s="399">
        <f t="shared" si="4"/>
        <v>7</v>
      </c>
    </row>
    <row r="25" spans="1:30">
      <c r="A25" s="616"/>
      <c r="B25" s="382" t="s">
        <v>346</v>
      </c>
      <c r="C25" s="386">
        <v>240</v>
      </c>
      <c r="D25" s="195">
        <v>1.1299999999999999</v>
      </c>
      <c r="E25" s="380">
        <v>285</v>
      </c>
      <c r="F25" s="107">
        <f t="shared" si="0"/>
        <v>77292</v>
      </c>
      <c r="G25" s="624"/>
      <c r="H25" s="582"/>
      <c r="I25" s="590"/>
      <c r="J25" s="541"/>
      <c r="K25" s="582"/>
      <c r="L25" s="582"/>
      <c r="M25" s="388">
        <v>20</v>
      </c>
      <c r="N25" s="387">
        <v>8</v>
      </c>
      <c r="O25" s="386">
        <v>600</v>
      </c>
      <c r="P25">
        <f t="shared" si="1"/>
        <v>0</v>
      </c>
      <c r="Q25" s="616"/>
      <c r="R25" s="398" t="s">
        <v>346</v>
      </c>
      <c r="S25" s="398">
        <f t="shared" si="5"/>
        <v>360</v>
      </c>
      <c r="T25" s="195">
        <v>1.1299999999999999</v>
      </c>
      <c r="U25" s="396">
        <v>285</v>
      </c>
      <c r="V25" s="107">
        <f t="shared" si="3"/>
        <v>115937.99999999999</v>
      </c>
      <c r="W25" s="624"/>
      <c r="X25" s="582"/>
      <c r="Y25" s="590"/>
      <c r="Z25" s="590"/>
      <c r="AA25" s="582"/>
      <c r="AB25" s="582"/>
      <c r="AC25" s="388">
        <v>20</v>
      </c>
      <c r="AD25" s="399">
        <f t="shared" si="4"/>
        <v>12</v>
      </c>
    </row>
    <row r="26" spans="1:30">
      <c r="A26" s="616" t="s">
        <v>349</v>
      </c>
      <c r="B26" s="382" t="s">
        <v>272</v>
      </c>
      <c r="C26" s="386">
        <v>420</v>
      </c>
      <c r="D26" s="195">
        <v>0.73</v>
      </c>
      <c r="E26" s="380">
        <v>285</v>
      </c>
      <c r="F26" s="107">
        <f t="shared" si="0"/>
        <v>87380.999999999985</v>
      </c>
      <c r="G26" s="624">
        <v>1379</v>
      </c>
      <c r="H26" s="582">
        <v>3967</v>
      </c>
      <c r="I26" s="590">
        <v>700</v>
      </c>
      <c r="J26" s="590">
        <f>G26/H26*SUM(C26:C28)*I26</f>
        <v>430698.51273002272</v>
      </c>
      <c r="K26" s="582">
        <f>J26+SUM(F26:F28)</f>
        <v>798947.01273002266</v>
      </c>
      <c r="L26" s="582">
        <f>K26/SUM(C26:C28)</f>
        <v>451.38249306780943</v>
      </c>
      <c r="M26" s="388">
        <v>31</v>
      </c>
      <c r="N26" s="387">
        <v>14</v>
      </c>
      <c r="O26" s="386">
        <v>956</v>
      </c>
      <c r="P26">
        <f t="shared" si="1"/>
        <v>0</v>
      </c>
      <c r="Q26" s="616" t="s">
        <v>349</v>
      </c>
      <c r="R26" s="398" t="s">
        <v>272</v>
      </c>
      <c r="S26" s="398">
        <f t="shared" si="5"/>
        <v>536</v>
      </c>
      <c r="T26" s="195">
        <v>0.73</v>
      </c>
      <c r="U26" s="396">
        <v>285</v>
      </c>
      <c r="V26" s="107">
        <f t="shared" si="3"/>
        <v>111514.79999999999</v>
      </c>
      <c r="W26" s="624">
        <v>1379</v>
      </c>
      <c r="X26" s="582">
        <v>3967</v>
      </c>
      <c r="Y26" s="590">
        <v>700</v>
      </c>
      <c r="Z26" s="590">
        <f>W26/X26*SUM(S26:S28)*Y26</f>
        <v>534601.48726997734</v>
      </c>
      <c r="AA26" s="582">
        <f>Z26+SUM(V26:V28)</f>
        <v>991687.33726997732</v>
      </c>
      <c r="AB26" s="582">
        <f>AA26/SUM(S26:S28)</f>
        <v>451.38249306780943</v>
      </c>
      <c r="AC26" s="388">
        <v>31</v>
      </c>
      <c r="AD26" s="399">
        <f t="shared" si="4"/>
        <v>17</v>
      </c>
    </row>
    <row r="27" spans="1:30">
      <c r="A27" s="616"/>
      <c r="B27" s="381" t="s">
        <v>95</v>
      </c>
      <c r="C27" s="386">
        <v>900</v>
      </c>
      <c r="D27" s="195">
        <v>0.73</v>
      </c>
      <c r="E27" s="380">
        <v>285</v>
      </c>
      <c r="F27" s="107">
        <f t="shared" si="0"/>
        <v>187245</v>
      </c>
      <c r="G27" s="624"/>
      <c r="H27" s="582"/>
      <c r="I27" s="590"/>
      <c r="J27" s="590"/>
      <c r="K27" s="582"/>
      <c r="L27" s="582"/>
      <c r="M27" s="388">
        <v>67</v>
      </c>
      <c r="N27" s="387">
        <v>30</v>
      </c>
      <c r="O27" s="386">
        <v>2013</v>
      </c>
      <c r="P27">
        <f t="shared" si="1"/>
        <v>0</v>
      </c>
      <c r="Q27" s="616"/>
      <c r="R27" s="397" t="s">
        <v>95</v>
      </c>
      <c r="S27" s="398">
        <f t="shared" si="5"/>
        <v>1113</v>
      </c>
      <c r="T27" s="195">
        <v>0.73</v>
      </c>
      <c r="U27" s="396">
        <v>285</v>
      </c>
      <c r="V27" s="107">
        <f t="shared" si="3"/>
        <v>231559.65</v>
      </c>
      <c r="W27" s="624"/>
      <c r="X27" s="582"/>
      <c r="Y27" s="590"/>
      <c r="Z27" s="590"/>
      <c r="AA27" s="582"/>
      <c r="AB27" s="582"/>
      <c r="AC27" s="388">
        <v>67</v>
      </c>
      <c r="AD27" s="399">
        <f t="shared" si="4"/>
        <v>37</v>
      </c>
    </row>
    <row r="28" spans="1:30">
      <c r="A28" s="616"/>
      <c r="B28" s="382" t="s">
        <v>96</v>
      </c>
      <c r="C28" s="386">
        <v>450</v>
      </c>
      <c r="D28" s="195">
        <v>0.73</v>
      </c>
      <c r="E28" s="380">
        <v>285</v>
      </c>
      <c r="F28" s="107">
        <f t="shared" si="0"/>
        <v>93622.5</v>
      </c>
      <c r="G28" s="624"/>
      <c r="H28" s="582"/>
      <c r="I28" s="590"/>
      <c r="J28" s="590"/>
      <c r="K28" s="582"/>
      <c r="L28" s="582"/>
      <c r="M28" s="388">
        <v>33</v>
      </c>
      <c r="N28" s="387">
        <v>15</v>
      </c>
      <c r="O28" s="386">
        <v>998</v>
      </c>
      <c r="P28">
        <f t="shared" si="1"/>
        <v>0</v>
      </c>
      <c r="Q28" s="616"/>
      <c r="R28" s="398" t="s">
        <v>96</v>
      </c>
      <c r="S28" s="398">
        <f t="shared" si="5"/>
        <v>548</v>
      </c>
      <c r="T28" s="195">
        <v>0.73</v>
      </c>
      <c r="U28" s="396">
        <v>285</v>
      </c>
      <c r="V28" s="107">
        <f t="shared" si="3"/>
        <v>114011.4</v>
      </c>
      <c r="W28" s="624"/>
      <c r="X28" s="582"/>
      <c r="Y28" s="590"/>
      <c r="Z28" s="590"/>
      <c r="AA28" s="582"/>
      <c r="AB28" s="582"/>
      <c r="AC28" s="388">
        <v>33</v>
      </c>
      <c r="AD28" s="399">
        <f t="shared" si="4"/>
        <v>18</v>
      </c>
    </row>
    <row r="29" spans="1:30">
      <c r="A29" s="691" t="s">
        <v>288</v>
      </c>
      <c r="B29" s="389" t="s">
        <v>272</v>
      </c>
      <c r="C29" s="386">
        <v>390</v>
      </c>
      <c r="D29" s="383">
        <v>1.7</v>
      </c>
      <c r="E29" s="380">
        <v>285</v>
      </c>
      <c r="F29" s="107">
        <f t="shared" si="0"/>
        <v>188955</v>
      </c>
      <c r="G29" s="640">
        <v>1299</v>
      </c>
      <c r="H29" s="582">
        <v>2166</v>
      </c>
      <c r="I29" s="590">
        <v>700</v>
      </c>
      <c r="J29" s="590">
        <f>G29/H29*SUM(C29:C31)*I29</f>
        <v>352637.1191135734</v>
      </c>
      <c r="K29" s="582">
        <f>J29+SUM(F29:F31)</f>
        <v>763037.11911357334</v>
      </c>
      <c r="L29" s="582">
        <f>K29/SUM(C29:C31)</f>
        <v>908.37752275425396</v>
      </c>
      <c r="M29" s="388">
        <v>33</v>
      </c>
      <c r="N29" s="387">
        <v>13</v>
      </c>
      <c r="O29" s="387">
        <v>1009</v>
      </c>
      <c r="P29">
        <f t="shared" si="1"/>
        <v>30</v>
      </c>
      <c r="Q29" s="691" t="s">
        <v>288</v>
      </c>
      <c r="R29" s="400" t="s">
        <v>272</v>
      </c>
      <c r="S29" s="398">
        <v>589</v>
      </c>
      <c r="T29" s="399">
        <v>1.7</v>
      </c>
      <c r="U29" s="396">
        <v>285</v>
      </c>
      <c r="V29" s="107">
        <f t="shared" si="3"/>
        <v>285370.5</v>
      </c>
      <c r="W29" s="640">
        <v>1299</v>
      </c>
      <c r="X29" s="582">
        <v>2166</v>
      </c>
      <c r="Y29" s="590">
        <v>700</v>
      </c>
      <c r="Z29" s="590">
        <f>W29/X29*SUM(S29:S31)*Y29</f>
        <v>544068.69806094188</v>
      </c>
      <c r="AA29" s="582">
        <f>Z29+SUM(V29:V31)</f>
        <v>1177424.1980609419</v>
      </c>
      <c r="AB29" s="582">
        <f>AA29/SUM(S29:S31)</f>
        <v>908.50632566430704</v>
      </c>
      <c r="AC29" s="388">
        <v>33</v>
      </c>
      <c r="AD29" s="399">
        <v>20</v>
      </c>
    </row>
    <row r="30" spans="1:30">
      <c r="A30" s="691"/>
      <c r="B30" s="383" t="s">
        <v>96</v>
      </c>
      <c r="C30" s="386">
        <v>330</v>
      </c>
      <c r="D30" s="383">
        <v>1.7</v>
      </c>
      <c r="E30" s="380">
        <v>285</v>
      </c>
      <c r="F30" s="107">
        <f t="shared" si="0"/>
        <v>159885</v>
      </c>
      <c r="G30" s="640"/>
      <c r="H30" s="582"/>
      <c r="I30" s="590"/>
      <c r="J30" s="590"/>
      <c r="K30" s="582"/>
      <c r="L30" s="582"/>
      <c r="M30" s="388">
        <v>28</v>
      </c>
      <c r="N30" s="387">
        <v>11</v>
      </c>
      <c r="O30" s="387">
        <v>846</v>
      </c>
      <c r="P30">
        <f t="shared" si="1"/>
        <v>0</v>
      </c>
      <c r="Q30" s="691"/>
      <c r="R30" s="399" t="s">
        <v>96</v>
      </c>
      <c r="S30" s="398">
        <f t="shared" si="5"/>
        <v>516</v>
      </c>
      <c r="T30" s="399">
        <v>1.7</v>
      </c>
      <c r="U30" s="396">
        <v>285</v>
      </c>
      <c r="V30" s="107">
        <f t="shared" si="3"/>
        <v>250001.99999999997</v>
      </c>
      <c r="W30" s="640"/>
      <c r="X30" s="582"/>
      <c r="Y30" s="590"/>
      <c r="Z30" s="590"/>
      <c r="AA30" s="582"/>
      <c r="AB30" s="582"/>
      <c r="AC30" s="388">
        <v>28</v>
      </c>
      <c r="AD30" s="399">
        <f t="shared" si="4"/>
        <v>17</v>
      </c>
    </row>
    <row r="31" spans="1:30">
      <c r="A31" s="691"/>
      <c r="B31" s="389" t="s">
        <v>95</v>
      </c>
      <c r="C31" s="386">
        <v>120</v>
      </c>
      <c r="D31" s="383">
        <v>1.8</v>
      </c>
      <c r="E31" s="380">
        <v>285</v>
      </c>
      <c r="F31" s="107">
        <f t="shared" si="0"/>
        <v>61560</v>
      </c>
      <c r="G31" s="640"/>
      <c r="H31" s="582"/>
      <c r="I31" s="590"/>
      <c r="J31" s="590"/>
      <c r="K31" s="582"/>
      <c r="L31" s="582"/>
      <c r="M31" s="388">
        <v>11</v>
      </c>
      <c r="N31" s="387">
        <v>4</v>
      </c>
      <c r="O31" s="387">
        <v>311</v>
      </c>
      <c r="P31">
        <f t="shared" si="1"/>
        <v>0</v>
      </c>
      <c r="Q31" s="691"/>
      <c r="R31" s="400" t="s">
        <v>95</v>
      </c>
      <c r="S31" s="398">
        <f>O31-C31</f>
        <v>191</v>
      </c>
      <c r="T31" s="399">
        <v>1.8</v>
      </c>
      <c r="U31" s="396">
        <v>285</v>
      </c>
      <c r="V31" s="107">
        <f t="shared" si="3"/>
        <v>97983</v>
      </c>
      <c r="W31" s="640"/>
      <c r="X31" s="582"/>
      <c r="Y31" s="590"/>
      <c r="Z31" s="590"/>
      <c r="AA31" s="582"/>
      <c r="AB31" s="582"/>
      <c r="AC31" s="388">
        <v>11</v>
      </c>
      <c r="AD31" s="399">
        <f t="shared" si="4"/>
        <v>7</v>
      </c>
    </row>
    <row r="32" spans="1:30">
      <c r="A32" s="616">
        <v>192</v>
      </c>
      <c r="B32" s="381" t="s">
        <v>272</v>
      </c>
      <c r="C32" s="386">
        <v>50</v>
      </c>
      <c r="D32" s="195">
        <v>1.25</v>
      </c>
      <c r="E32" s="380">
        <v>285</v>
      </c>
      <c r="F32" s="107">
        <f t="shared" si="0"/>
        <v>17812.5</v>
      </c>
      <c r="G32" s="624">
        <v>441</v>
      </c>
      <c r="H32" s="590">
        <v>950</v>
      </c>
      <c r="I32" s="590">
        <v>700</v>
      </c>
      <c r="J32" s="590">
        <f>G32/H32*SUM(C32:C33)*I32</f>
        <v>64989.473684210527</v>
      </c>
      <c r="K32" s="582">
        <f>J32+SUM(F32:F33)</f>
        <v>136239.47368421053</v>
      </c>
      <c r="L32" s="582">
        <f>K32/SUM(C32:C33)</f>
        <v>681.19736842105272</v>
      </c>
      <c r="M32" s="388">
        <v>1</v>
      </c>
      <c r="N32" s="387">
        <v>1</v>
      </c>
      <c r="O32" s="386">
        <v>100</v>
      </c>
      <c r="P32">
        <f t="shared" si="1"/>
        <v>50</v>
      </c>
      <c r="Q32" s="616">
        <v>192</v>
      </c>
      <c r="R32" s="397" t="s">
        <v>272</v>
      </c>
      <c r="S32" s="398">
        <v>0</v>
      </c>
      <c r="T32" s="195">
        <v>1.25</v>
      </c>
      <c r="U32" s="396">
        <v>285</v>
      </c>
      <c r="V32" s="107">
        <f t="shared" si="3"/>
        <v>0</v>
      </c>
      <c r="W32" s="624">
        <v>441</v>
      </c>
      <c r="X32" s="590">
        <v>950</v>
      </c>
      <c r="Y32" s="590">
        <v>700</v>
      </c>
      <c r="Z32" s="590">
        <f>W32/X32*SUM(S32:S33)*Y32</f>
        <v>64989.473684210527</v>
      </c>
      <c r="AA32" s="582">
        <f>Z32+SUM(V32:V33)</f>
        <v>136239.47368421053</v>
      </c>
      <c r="AB32" s="582">
        <f>AA32/SUM(S32:S33)</f>
        <v>681.19736842105272</v>
      </c>
      <c r="AC32" s="388">
        <v>1</v>
      </c>
      <c r="AD32" s="399">
        <f t="shared" si="4"/>
        <v>0</v>
      </c>
    </row>
    <row r="33" spans="1:30" ht="25.5">
      <c r="A33" s="616"/>
      <c r="B33" s="381" t="s">
        <v>331</v>
      </c>
      <c r="C33" s="386">
        <v>150</v>
      </c>
      <c r="D33" s="195">
        <v>1.25</v>
      </c>
      <c r="E33" s="380">
        <v>285</v>
      </c>
      <c r="F33" s="107">
        <f t="shared" si="0"/>
        <v>53437.5</v>
      </c>
      <c r="G33" s="624"/>
      <c r="H33" s="590"/>
      <c r="I33" s="590"/>
      <c r="J33" s="590"/>
      <c r="K33" s="582"/>
      <c r="L33" s="582"/>
      <c r="M33" s="388">
        <v>7</v>
      </c>
      <c r="N33" s="387">
        <v>3</v>
      </c>
      <c r="O33" s="407">
        <v>350</v>
      </c>
      <c r="P33">
        <f t="shared" si="1"/>
        <v>0</v>
      </c>
      <c r="Q33" s="616"/>
      <c r="R33" s="397" t="s">
        <v>331</v>
      </c>
      <c r="S33" s="398">
        <v>200</v>
      </c>
      <c r="T33" s="195">
        <v>1.25</v>
      </c>
      <c r="U33" s="396">
        <v>285</v>
      </c>
      <c r="V33" s="107">
        <f t="shared" si="3"/>
        <v>71250</v>
      </c>
      <c r="W33" s="624"/>
      <c r="X33" s="590"/>
      <c r="Y33" s="590"/>
      <c r="Z33" s="590"/>
      <c r="AA33" s="582"/>
      <c r="AB33" s="582"/>
      <c r="AC33" s="388">
        <v>7</v>
      </c>
      <c r="AD33" s="399">
        <v>4</v>
      </c>
    </row>
    <row r="34" spans="1:30">
      <c r="A34" s="380" t="s">
        <v>4</v>
      </c>
      <c r="B34" s="380"/>
      <c r="C34" s="380">
        <f>SUM(C3:C33)</f>
        <v>9292</v>
      </c>
      <c r="D34" s="380"/>
      <c r="E34" s="380"/>
      <c r="F34" s="379">
        <f>SUM(F3:F33)</f>
        <v>2630721</v>
      </c>
      <c r="G34" s="380">
        <f>SUM(G3:G33)</f>
        <v>10754</v>
      </c>
      <c r="H34" s="380">
        <f>SUM(H3:H33)</f>
        <v>22117</v>
      </c>
      <c r="I34" s="380"/>
      <c r="J34" s="380">
        <f>SUM(J3:J33)</f>
        <v>2927906.7591018961</v>
      </c>
      <c r="K34" s="379">
        <f>SUM(K3:K33)</f>
        <v>5558627.7591018956</v>
      </c>
      <c r="L34" s="380"/>
      <c r="M34" s="388">
        <f>SUM(M3:M33)</f>
        <v>707</v>
      </c>
      <c r="N34" s="380">
        <f>SUM(N3:N33)</f>
        <v>307</v>
      </c>
      <c r="O34" s="385">
        <f>SUM(O3:O33)</f>
        <v>21617</v>
      </c>
      <c r="P34">
        <f t="shared" si="1"/>
        <v>140</v>
      </c>
      <c r="Q34" s="396" t="s">
        <v>4</v>
      </c>
      <c r="R34" s="396"/>
      <c r="S34" s="396">
        <f>SUM(S3:S33)</f>
        <v>12185</v>
      </c>
      <c r="T34" s="396"/>
      <c r="U34" s="396"/>
      <c r="V34" s="395">
        <f>SUM(V3:V33)</f>
        <v>3615826.3499999996</v>
      </c>
      <c r="W34" s="396">
        <f>SUM(W3:W33)</f>
        <v>10754</v>
      </c>
      <c r="X34" s="396">
        <f>SUM(X3:X33)</f>
        <v>22117</v>
      </c>
      <c r="Y34" s="396"/>
      <c r="Z34" s="396">
        <f>SUM(Z3:Z33)</f>
        <v>3983034.0802073944</v>
      </c>
      <c r="AA34" s="395">
        <f>SUM(AA3:AA33)</f>
        <v>7598860.430207395</v>
      </c>
      <c r="AB34" s="396"/>
      <c r="AC34" s="388">
        <f>SUM(AC3:AC33)</f>
        <v>707</v>
      </c>
      <c r="AD34" s="396">
        <f>SUM(AD3:AD33)</f>
        <v>398</v>
      </c>
    </row>
    <row r="35" spans="1:30">
      <c r="A35" s="1"/>
      <c r="B35" s="1"/>
      <c r="C35" s="1"/>
      <c r="D35" s="1"/>
      <c r="E35" s="1"/>
      <c r="F35" s="644" t="s">
        <v>233</v>
      </c>
      <c r="G35" s="645"/>
      <c r="H35" s="27">
        <f>K35+K34</f>
        <v>5614214.0366929146</v>
      </c>
      <c r="I35" s="558" t="s">
        <v>232</v>
      </c>
      <c r="J35" s="558"/>
      <c r="K35" s="27">
        <f>K34*1%</f>
        <v>55586.277591018959</v>
      </c>
      <c r="L35" s="1"/>
      <c r="M35" s="1"/>
      <c r="N35" s="1"/>
      <c r="O35" s="1"/>
      <c r="Q35" s="1"/>
      <c r="R35" s="1"/>
      <c r="S35" s="1"/>
      <c r="T35" s="1"/>
      <c r="U35" s="1"/>
      <c r="V35" s="558" t="s">
        <v>233</v>
      </c>
      <c r="W35" s="558"/>
      <c r="X35" s="27">
        <f>AA35+AA34</f>
        <v>7674849.0345094688</v>
      </c>
      <c r="Y35" s="558" t="s">
        <v>232</v>
      </c>
      <c r="Z35" s="558"/>
      <c r="AA35" s="2">
        <f>AA34*1%</f>
        <v>75988.604302073945</v>
      </c>
      <c r="AB35" s="1"/>
      <c r="AC35" s="1"/>
      <c r="AD35" s="399"/>
    </row>
    <row r="39" spans="1:30" ht="15" customHeight="1">
      <c r="F39" s="627" t="s">
        <v>286</v>
      </c>
      <c r="G39" s="627"/>
      <c r="H39" s="627"/>
      <c r="I39" s="627"/>
      <c r="J39" s="690">
        <v>45331</v>
      </c>
    </row>
    <row r="40" spans="1:30" ht="15" customHeight="1">
      <c r="F40" s="627"/>
      <c r="G40" s="627"/>
      <c r="H40" s="627"/>
      <c r="I40" s="627"/>
      <c r="J40" s="690"/>
    </row>
    <row r="41" spans="1:30" ht="31.5">
      <c r="F41" s="100" t="s">
        <v>0</v>
      </c>
      <c r="G41" s="100" t="s">
        <v>140</v>
      </c>
      <c r="H41" s="105" t="s">
        <v>125</v>
      </c>
      <c r="I41" s="105" t="s">
        <v>126</v>
      </c>
      <c r="J41" s="105" t="s">
        <v>124</v>
      </c>
    </row>
    <row r="42" spans="1:30">
      <c r="F42" s="640" t="s">
        <v>240</v>
      </c>
      <c r="G42" s="393" t="s">
        <v>101</v>
      </c>
      <c r="H42" s="388">
        <v>17</v>
      </c>
      <c r="I42" s="393">
        <f>H42-J42</f>
        <v>9</v>
      </c>
      <c r="J42" s="393">
        <v>8</v>
      </c>
    </row>
    <row r="43" spans="1:30">
      <c r="F43" s="640"/>
      <c r="G43" s="393" t="s">
        <v>150</v>
      </c>
      <c r="H43" s="388">
        <v>16</v>
      </c>
      <c r="I43" s="393">
        <f t="shared" ref="I43:I71" si="6">H43-J43</f>
        <v>9</v>
      </c>
      <c r="J43" s="393">
        <v>7</v>
      </c>
    </row>
    <row r="44" spans="1:30" ht="20.25" customHeight="1">
      <c r="F44" s="640"/>
      <c r="G44" s="394" t="s">
        <v>343</v>
      </c>
      <c r="H44" s="388">
        <v>16</v>
      </c>
      <c r="I44" s="393">
        <f t="shared" si="6"/>
        <v>8</v>
      </c>
      <c r="J44" s="393">
        <v>8</v>
      </c>
    </row>
    <row r="45" spans="1:30">
      <c r="F45" s="640"/>
      <c r="G45" s="392" t="s">
        <v>95</v>
      </c>
      <c r="H45" s="388">
        <v>17</v>
      </c>
      <c r="I45" s="393">
        <f t="shared" si="6"/>
        <v>8</v>
      </c>
      <c r="J45" s="393">
        <v>9</v>
      </c>
    </row>
    <row r="46" spans="1:30">
      <c r="F46" s="640"/>
      <c r="G46" s="392" t="s">
        <v>307</v>
      </c>
      <c r="H46" s="388">
        <v>17</v>
      </c>
      <c r="I46" s="393">
        <f t="shared" si="6"/>
        <v>8</v>
      </c>
      <c r="J46" s="393">
        <v>9</v>
      </c>
    </row>
    <row r="47" spans="1:30">
      <c r="F47" s="640"/>
      <c r="G47" s="391" t="s">
        <v>344</v>
      </c>
      <c r="H47" s="388">
        <v>16</v>
      </c>
      <c r="I47" s="393">
        <f t="shared" si="6"/>
        <v>8</v>
      </c>
      <c r="J47" s="393">
        <v>8</v>
      </c>
    </row>
    <row r="48" spans="1:30">
      <c r="F48" s="640"/>
      <c r="G48" s="391" t="s">
        <v>97</v>
      </c>
      <c r="H48" s="388">
        <v>10</v>
      </c>
      <c r="I48" s="393">
        <f t="shared" si="6"/>
        <v>5</v>
      </c>
      <c r="J48" s="393">
        <v>5</v>
      </c>
    </row>
    <row r="49" spans="6:10">
      <c r="F49" s="640"/>
      <c r="G49" s="391" t="s">
        <v>283</v>
      </c>
      <c r="H49" s="388">
        <v>11</v>
      </c>
      <c r="I49" s="393">
        <f t="shared" si="6"/>
        <v>5</v>
      </c>
      <c r="J49" s="393">
        <v>6</v>
      </c>
    </row>
    <row r="50" spans="6:10">
      <c r="F50" s="640"/>
      <c r="G50" s="391" t="s">
        <v>299</v>
      </c>
      <c r="H50" s="388">
        <v>16</v>
      </c>
      <c r="I50" s="393">
        <f t="shared" si="6"/>
        <v>8</v>
      </c>
      <c r="J50" s="393">
        <v>8</v>
      </c>
    </row>
    <row r="51" spans="6:10">
      <c r="F51" s="640"/>
      <c r="G51" s="391" t="s">
        <v>151</v>
      </c>
      <c r="H51" s="388">
        <v>16</v>
      </c>
      <c r="I51" s="393">
        <f t="shared" si="6"/>
        <v>8</v>
      </c>
      <c r="J51" s="393">
        <v>8</v>
      </c>
    </row>
    <row r="52" spans="6:10">
      <c r="F52" s="640"/>
      <c r="G52" s="391" t="s">
        <v>302</v>
      </c>
      <c r="H52" s="388">
        <v>16</v>
      </c>
      <c r="I52" s="393">
        <f t="shared" si="6"/>
        <v>8</v>
      </c>
      <c r="J52" s="393">
        <v>8</v>
      </c>
    </row>
    <row r="53" spans="6:10">
      <c r="F53" s="640"/>
      <c r="G53" s="391" t="s">
        <v>345</v>
      </c>
      <c r="H53" s="388">
        <v>16</v>
      </c>
      <c r="I53" s="393">
        <f t="shared" si="6"/>
        <v>8</v>
      </c>
      <c r="J53" s="393">
        <v>8</v>
      </c>
    </row>
    <row r="54" spans="6:10" ht="51">
      <c r="F54" s="391" t="s">
        <v>348</v>
      </c>
      <c r="G54" s="391" t="s">
        <v>188</v>
      </c>
      <c r="H54" s="388">
        <v>65</v>
      </c>
      <c r="I54" s="393">
        <f t="shared" si="6"/>
        <v>39</v>
      </c>
      <c r="J54" s="393">
        <v>26</v>
      </c>
    </row>
    <row r="55" spans="6:10">
      <c r="F55" s="616" t="s">
        <v>238</v>
      </c>
      <c r="G55" s="392" t="s">
        <v>101</v>
      </c>
      <c r="H55" s="388">
        <v>53</v>
      </c>
      <c r="I55" s="393">
        <f t="shared" si="6"/>
        <v>32</v>
      </c>
      <c r="J55" s="393">
        <v>21</v>
      </c>
    </row>
    <row r="56" spans="6:10">
      <c r="F56" s="616"/>
      <c r="G56" s="392" t="s">
        <v>150</v>
      </c>
      <c r="H56" s="388">
        <v>33</v>
      </c>
      <c r="I56" s="393">
        <v>18</v>
      </c>
      <c r="J56" s="393">
        <v>13</v>
      </c>
    </row>
    <row r="57" spans="6:10">
      <c r="F57" s="616"/>
      <c r="G57" s="392" t="s">
        <v>245</v>
      </c>
      <c r="H57" s="388">
        <v>35</v>
      </c>
      <c r="I57" s="393">
        <f t="shared" si="6"/>
        <v>21</v>
      </c>
      <c r="J57" s="393">
        <v>14</v>
      </c>
    </row>
    <row r="58" spans="6:10">
      <c r="F58" s="616"/>
      <c r="G58" s="392" t="s">
        <v>95</v>
      </c>
      <c r="H58" s="388">
        <v>29</v>
      </c>
      <c r="I58" s="393">
        <f t="shared" si="6"/>
        <v>18</v>
      </c>
      <c r="J58" s="393">
        <v>11</v>
      </c>
    </row>
    <row r="59" spans="6:10">
      <c r="F59" s="616"/>
      <c r="G59" s="392" t="s">
        <v>102</v>
      </c>
      <c r="H59" s="388">
        <v>26</v>
      </c>
      <c r="I59" s="393">
        <f t="shared" si="6"/>
        <v>16</v>
      </c>
      <c r="J59" s="393">
        <v>10</v>
      </c>
    </row>
    <row r="60" spans="6:10">
      <c r="F60" s="616"/>
      <c r="G60" s="392" t="s">
        <v>114</v>
      </c>
      <c r="H60" s="388">
        <v>17</v>
      </c>
      <c r="I60" s="393">
        <f t="shared" si="6"/>
        <v>11</v>
      </c>
      <c r="J60" s="393">
        <v>6</v>
      </c>
    </row>
    <row r="61" spans="6:10">
      <c r="F61" s="616"/>
      <c r="G61" s="392" t="s">
        <v>302</v>
      </c>
      <c r="H61" s="388">
        <v>12</v>
      </c>
      <c r="I61" s="393">
        <f t="shared" si="6"/>
        <v>7</v>
      </c>
      <c r="J61" s="393">
        <v>5</v>
      </c>
    </row>
    <row r="62" spans="6:10">
      <c r="F62" s="616"/>
      <c r="G62" s="392" t="s">
        <v>307</v>
      </c>
      <c r="H62" s="388">
        <v>12</v>
      </c>
      <c r="I62" s="393">
        <f t="shared" si="6"/>
        <v>7</v>
      </c>
      <c r="J62" s="393">
        <v>5</v>
      </c>
    </row>
    <row r="63" spans="6:10">
      <c r="F63" s="616"/>
      <c r="G63" s="392" t="s">
        <v>318</v>
      </c>
      <c r="H63" s="388">
        <v>12</v>
      </c>
      <c r="I63" s="393">
        <f t="shared" si="6"/>
        <v>7</v>
      </c>
      <c r="J63" s="393">
        <v>5</v>
      </c>
    </row>
    <row r="64" spans="6:10">
      <c r="F64" s="616"/>
      <c r="G64" s="392" t="s">
        <v>346</v>
      </c>
      <c r="H64" s="388">
        <v>20</v>
      </c>
      <c r="I64" s="393">
        <f t="shared" si="6"/>
        <v>12</v>
      </c>
      <c r="J64" s="393">
        <v>8</v>
      </c>
    </row>
    <row r="65" spans="6:10">
      <c r="F65" s="616" t="s">
        <v>349</v>
      </c>
      <c r="G65" s="392" t="s">
        <v>272</v>
      </c>
      <c r="H65" s="388">
        <v>31</v>
      </c>
      <c r="I65" s="393">
        <f t="shared" si="6"/>
        <v>18</v>
      </c>
      <c r="J65" s="393">
        <v>13</v>
      </c>
    </row>
    <row r="66" spans="6:10">
      <c r="F66" s="616"/>
      <c r="G66" s="391" t="s">
        <v>95</v>
      </c>
      <c r="H66" s="388">
        <v>67</v>
      </c>
      <c r="I66" s="393">
        <f t="shared" si="6"/>
        <v>40</v>
      </c>
      <c r="J66" s="393">
        <v>27</v>
      </c>
    </row>
    <row r="67" spans="6:10">
      <c r="F67" s="616"/>
      <c r="G67" s="392" t="s">
        <v>96</v>
      </c>
      <c r="H67" s="388">
        <v>33</v>
      </c>
      <c r="I67" s="393">
        <f t="shared" si="6"/>
        <v>20</v>
      </c>
      <c r="J67" s="393">
        <v>13</v>
      </c>
    </row>
    <row r="68" spans="6:10">
      <c r="F68" s="691" t="s">
        <v>288</v>
      </c>
      <c r="G68" s="394" t="s">
        <v>272</v>
      </c>
      <c r="H68" s="388">
        <v>34</v>
      </c>
      <c r="I68" s="393">
        <v>20</v>
      </c>
      <c r="J68" s="393">
        <v>13</v>
      </c>
    </row>
    <row r="69" spans="6:10">
      <c r="F69" s="691"/>
      <c r="G69" s="393" t="s">
        <v>96</v>
      </c>
      <c r="H69" s="388">
        <v>28</v>
      </c>
      <c r="I69" s="393">
        <f t="shared" si="6"/>
        <v>17</v>
      </c>
      <c r="J69" s="393">
        <v>11</v>
      </c>
    </row>
    <row r="70" spans="6:10">
      <c r="F70" s="691"/>
      <c r="G70" s="394" t="s">
        <v>95</v>
      </c>
      <c r="H70" s="388">
        <v>11</v>
      </c>
      <c r="I70" s="393">
        <f t="shared" si="6"/>
        <v>7</v>
      </c>
      <c r="J70" s="393">
        <v>4</v>
      </c>
    </row>
    <row r="71" spans="6:10">
      <c r="F71" s="616">
        <v>192</v>
      </c>
      <c r="G71" s="391" t="s">
        <v>272</v>
      </c>
      <c r="H71" s="388">
        <v>2</v>
      </c>
      <c r="I71" s="393">
        <f t="shared" si="6"/>
        <v>1</v>
      </c>
      <c r="J71" s="393">
        <v>1</v>
      </c>
    </row>
    <row r="72" spans="6:10" ht="25.5">
      <c r="F72" s="616"/>
      <c r="G72" s="391" t="s">
        <v>331</v>
      </c>
      <c r="H72" s="388">
        <v>17</v>
      </c>
      <c r="I72" s="393">
        <v>4</v>
      </c>
      <c r="J72" s="393">
        <v>3</v>
      </c>
    </row>
    <row r="73" spans="6:10">
      <c r="F73" s="390" t="s">
        <v>4</v>
      </c>
      <c r="G73" s="390"/>
      <c r="H73" s="388">
        <f>SUM(H42:H72)</f>
        <v>721</v>
      </c>
      <c r="I73" s="393">
        <f>SUM(I42:I72)</f>
        <v>407</v>
      </c>
      <c r="J73" s="390">
        <f>SUM(J42:J72)</f>
        <v>301</v>
      </c>
    </row>
  </sheetData>
  <mergeCells count="83">
    <mergeCell ref="Y35:Z35"/>
    <mergeCell ref="V35:W35"/>
    <mergeCell ref="AA29:AA31"/>
    <mergeCell ref="AB29:AB31"/>
    <mergeCell ref="Q32:Q33"/>
    <mergeCell ref="W32:W33"/>
    <mergeCell ref="X32:X33"/>
    <mergeCell ref="Y32:Y33"/>
    <mergeCell ref="Z32:Z33"/>
    <mergeCell ref="AA32:AA33"/>
    <mergeCell ref="AB32:AB33"/>
    <mergeCell ref="Q29:Q31"/>
    <mergeCell ref="W29:W31"/>
    <mergeCell ref="X29:X31"/>
    <mergeCell ref="Y29:Y31"/>
    <mergeCell ref="Z29:Z31"/>
    <mergeCell ref="AA16:AA25"/>
    <mergeCell ref="AB16:AB25"/>
    <mergeCell ref="Q26:Q28"/>
    <mergeCell ref="W26:W28"/>
    <mergeCell ref="X26:X28"/>
    <mergeCell ref="Y26:Y28"/>
    <mergeCell ref="Z26:Z28"/>
    <mergeCell ref="AA26:AA28"/>
    <mergeCell ref="AB26:AB28"/>
    <mergeCell ref="Q16:Q25"/>
    <mergeCell ref="W16:W25"/>
    <mergeCell ref="X16:X25"/>
    <mergeCell ref="Y16:Y25"/>
    <mergeCell ref="Z16:Z25"/>
    <mergeCell ref="Q1:AD1"/>
    <mergeCell ref="Q3:Q14"/>
    <mergeCell ref="W3:W14"/>
    <mergeCell ref="X3:X14"/>
    <mergeCell ref="Y3:Y14"/>
    <mergeCell ref="Z3:Z14"/>
    <mergeCell ref="AA3:AA14"/>
    <mergeCell ref="AB3:AB14"/>
    <mergeCell ref="A1:N1"/>
    <mergeCell ref="A3:A14"/>
    <mergeCell ref="G3:G14"/>
    <mergeCell ref="H3:H14"/>
    <mergeCell ref="I3:I14"/>
    <mergeCell ref="J3:J14"/>
    <mergeCell ref="K3:K14"/>
    <mergeCell ref="L3:L14"/>
    <mergeCell ref="L26:L28"/>
    <mergeCell ref="A16:A25"/>
    <mergeCell ref="A26:A28"/>
    <mergeCell ref="A29:A31"/>
    <mergeCell ref="A32:A33"/>
    <mergeCell ref="J16:J25"/>
    <mergeCell ref="I16:I25"/>
    <mergeCell ref="H16:H25"/>
    <mergeCell ref="G16:G25"/>
    <mergeCell ref="L16:L25"/>
    <mergeCell ref="K16:K25"/>
    <mergeCell ref="G26:G28"/>
    <mergeCell ref="H26:H28"/>
    <mergeCell ref="I26:I28"/>
    <mergeCell ref="J26:J28"/>
    <mergeCell ref="K26:K28"/>
    <mergeCell ref="L32:L33"/>
    <mergeCell ref="G29:G31"/>
    <mergeCell ref="H29:H31"/>
    <mergeCell ref="I29:I31"/>
    <mergeCell ref="J29:J31"/>
    <mergeCell ref="K29:K31"/>
    <mergeCell ref="L29:L31"/>
    <mergeCell ref="G32:G33"/>
    <mergeCell ref="H32:H33"/>
    <mergeCell ref="I32:I33"/>
    <mergeCell ref="J32:J33"/>
    <mergeCell ref="K32:K33"/>
    <mergeCell ref="F71:F72"/>
    <mergeCell ref="F39:I40"/>
    <mergeCell ref="J39:J40"/>
    <mergeCell ref="F35:G35"/>
    <mergeCell ref="F42:F53"/>
    <mergeCell ref="F55:F64"/>
    <mergeCell ref="F65:F67"/>
    <mergeCell ref="F68:F70"/>
    <mergeCell ref="I35:J35"/>
  </mergeCells>
  <pageMargins left="0.4" right="0.17" top="0.21" bottom="0.17" header="0.15" footer="0.14000000000000001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N12" workbookViewId="0">
      <selection activeCell="Q27" sqref="Q27:Q31"/>
    </sheetView>
  </sheetViews>
  <sheetFormatPr defaultRowHeight="15"/>
  <cols>
    <col min="1" max="1" width="10.5703125" customWidth="1"/>
    <col min="2" max="2" width="21.7109375" bestFit="1" customWidth="1"/>
    <col min="6" max="6" width="10.28515625" customWidth="1"/>
    <col min="12" max="12" width="7.85546875" customWidth="1"/>
    <col min="13" max="13" width="10" customWidth="1"/>
    <col min="14" max="14" width="8.85546875" customWidth="1"/>
    <col min="15" max="15" width="21.7109375" bestFit="1" customWidth="1"/>
    <col min="16" max="16" width="10.140625" customWidth="1"/>
    <col min="17" max="17" width="10.85546875" customWidth="1"/>
    <col min="18" max="18" width="10" customWidth="1"/>
  </cols>
  <sheetData>
    <row r="1" spans="1:30" ht="28.5">
      <c r="A1" s="605" t="s">
        <v>336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Q1" s="698" t="s">
        <v>350</v>
      </c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</row>
    <row r="2" spans="1:30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126</v>
      </c>
      <c r="Q2" s="479" t="s">
        <v>0</v>
      </c>
      <c r="R2" s="479" t="s">
        <v>140</v>
      </c>
      <c r="S2" s="480" t="s">
        <v>130</v>
      </c>
      <c r="T2" s="480" t="s">
        <v>2</v>
      </c>
      <c r="U2" s="480" t="s">
        <v>3</v>
      </c>
      <c r="V2" s="480" t="s">
        <v>4</v>
      </c>
      <c r="W2" s="105" t="s">
        <v>5</v>
      </c>
      <c r="X2" s="105" t="s">
        <v>6</v>
      </c>
      <c r="Y2" s="105" t="s">
        <v>7</v>
      </c>
      <c r="Z2" s="480" t="s">
        <v>8</v>
      </c>
      <c r="AA2" s="105" t="s">
        <v>9</v>
      </c>
      <c r="AB2" s="105" t="s">
        <v>10</v>
      </c>
      <c r="AC2" s="105" t="s">
        <v>125</v>
      </c>
      <c r="AD2" s="105" t="s">
        <v>360</v>
      </c>
    </row>
    <row r="3" spans="1:30">
      <c r="A3" s="682" t="s">
        <v>351</v>
      </c>
      <c r="B3" s="405" t="s">
        <v>101</v>
      </c>
      <c r="C3" s="405">
        <v>330</v>
      </c>
      <c r="D3" s="335">
        <v>1.85</v>
      </c>
      <c r="E3" s="403">
        <v>285</v>
      </c>
      <c r="F3" s="107">
        <f>C3*D3*E3</f>
        <v>173992.5</v>
      </c>
      <c r="G3" s="640">
        <v>1355</v>
      </c>
      <c r="H3" s="624">
        <v>3618</v>
      </c>
      <c r="I3" s="590">
        <v>700</v>
      </c>
      <c r="J3" s="590">
        <f>G3/H3*SUM(C3:C6)*I3</f>
        <v>545295.74350469874</v>
      </c>
      <c r="K3" s="582">
        <f>J3+SUM(F3:F6)</f>
        <v>1641975.7435046989</v>
      </c>
      <c r="L3" s="598">
        <f>K3/SUM(C3:C6)</f>
        <v>789.41141514648984</v>
      </c>
      <c r="M3" s="388">
        <v>20</v>
      </c>
      <c r="N3" s="404">
        <v>11</v>
      </c>
      <c r="O3" s="417">
        <v>600</v>
      </c>
      <c r="P3">
        <f t="shared" ref="P3:P34" si="0">O3-C3-S3</f>
        <v>0</v>
      </c>
      <c r="Q3" s="682" t="s">
        <v>351</v>
      </c>
      <c r="R3" s="470" t="s">
        <v>101</v>
      </c>
      <c r="S3" s="470">
        <v>270</v>
      </c>
      <c r="T3" s="335">
        <v>1.85</v>
      </c>
      <c r="U3" s="481">
        <v>285</v>
      </c>
      <c r="V3" s="482">
        <f>S3*T3*U3</f>
        <v>142357.5</v>
      </c>
      <c r="W3" s="640">
        <v>1773</v>
      </c>
      <c r="X3" s="624">
        <v>3618</v>
      </c>
      <c r="Y3" s="694">
        <v>700</v>
      </c>
      <c r="Z3" s="694">
        <f>W3/X3*SUM(S3:S6)*Y3</f>
        <v>585903.48258706473</v>
      </c>
      <c r="AA3" s="692">
        <f>Z3+SUM(V3:V6)</f>
        <v>1486446.4825870646</v>
      </c>
      <c r="AB3" s="695">
        <f>AA3/SUM(S3:S6)</f>
        <v>870.28482587064673</v>
      </c>
      <c r="AC3" s="388">
        <v>20</v>
      </c>
      <c r="AD3" s="469">
        <v>9</v>
      </c>
    </row>
    <row r="4" spans="1:30">
      <c r="A4" s="683"/>
      <c r="B4" s="405" t="s">
        <v>244</v>
      </c>
      <c r="C4" s="412">
        <f>O4-S4</f>
        <v>480</v>
      </c>
      <c r="D4" s="335">
        <v>1.85</v>
      </c>
      <c r="E4" s="403">
        <v>285</v>
      </c>
      <c r="F4" s="107">
        <f t="shared" ref="F4:F32" si="1">C4*D4*E4</f>
        <v>253080</v>
      </c>
      <c r="G4" s="640"/>
      <c r="H4" s="624"/>
      <c r="I4" s="590"/>
      <c r="J4" s="590"/>
      <c r="K4" s="582"/>
      <c r="L4" s="601"/>
      <c r="M4" s="388">
        <v>30</v>
      </c>
      <c r="N4" s="411">
        <f>M4-AD4</f>
        <v>16</v>
      </c>
      <c r="O4" s="417">
        <v>898</v>
      </c>
      <c r="P4">
        <f t="shared" si="0"/>
        <v>0</v>
      </c>
      <c r="Q4" s="683"/>
      <c r="R4" s="470" t="s">
        <v>244</v>
      </c>
      <c r="S4" s="470">
        <v>418</v>
      </c>
      <c r="T4" s="335">
        <v>1.85</v>
      </c>
      <c r="U4" s="481">
        <v>285</v>
      </c>
      <c r="V4" s="482">
        <f t="shared" ref="V4:V32" si="2">S4*T4*U4</f>
        <v>220390.50000000003</v>
      </c>
      <c r="W4" s="640"/>
      <c r="X4" s="624"/>
      <c r="Y4" s="694"/>
      <c r="Z4" s="694"/>
      <c r="AA4" s="692"/>
      <c r="AB4" s="696"/>
      <c r="AC4" s="388">
        <v>30</v>
      </c>
      <c r="AD4" s="469">
        <v>14</v>
      </c>
    </row>
    <row r="5" spans="1:30">
      <c r="A5" s="683"/>
      <c r="B5" s="405" t="s">
        <v>327</v>
      </c>
      <c r="C5" s="412">
        <v>640</v>
      </c>
      <c r="D5" s="335">
        <v>1.85</v>
      </c>
      <c r="E5" s="403">
        <v>285</v>
      </c>
      <c r="F5" s="107">
        <f t="shared" si="1"/>
        <v>337440</v>
      </c>
      <c r="G5" s="640"/>
      <c r="H5" s="624"/>
      <c r="I5" s="590"/>
      <c r="J5" s="590"/>
      <c r="K5" s="582"/>
      <c r="L5" s="601"/>
      <c r="M5" s="388">
        <v>39</v>
      </c>
      <c r="N5" s="411">
        <v>20</v>
      </c>
      <c r="O5" s="417">
        <v>1207</v>
      </c>
      <c r="P5">
        <f t="shared" si="0"/>
        <v>0</v>
      </c>
      <c r="Q5" s="683"/>
      <c r="R5" s="470" t="s">
        <v>327</v>
      </c>
      <c r="S5" s="470">
        <v>567</v>
      </c>
      <c r="T5" s="335">
        <v>1.85</v>
      </c>
      <c r="U5" s="481">
        <v>285</v>
      </c>
      <c r="V5" s="482">
        <f t="shared" si="2"/>
        <v>298950.75</v>
      </c>
      <c r="W5" s="640"/>
      <c r="X5" s="624"/>
      <c r="Y5" s="694"/>
      <c r="Z5" s="694"/>
      <c r="AA5" s="692"/>
      <c r="AB5" s="696"/>
      <c r="AC5" s="388">
        <v>39</v>
      </c>
      <c r="AD5" s="469">
        <v>19</v>
      </c>
    </row>
    <row r="6" spans="1:30">
      <c r="A6" s="684"/>
      <c r="B6" s="405" t="s">
        <v>150</v>
      </c>
      <c r="C6" s="412">
        <v>630</v>
      </c>
      <c r="D6" s="335">
        <v>1.85</v>
      </c>
      <c r="E6" s="403">
        <v>285</v>
      </c>
      <c r="F6" s="107">
        <f t="shared" si="1"/>
        <v>332167.5</v>
      </c>
      <c r="G6" s="640"/>
      <c r="H6" s="624"/>
      <c r="I6" s="590"/>
      <c r="J6" s="590"/>
      <c r="K6" s="582"/>
      <c r="L6" s="599"/>
      <c r="M6" s="388">
        <v>36</v>
      </c>
      <c r="N6" s="411">
        <v>21</v>
      </c>
      <c r="O6" s="417">
        <v>1083</v>
      </c>
      <c r="P6">
        <f t="shared" si="0"/>
        <v>0</v>
      </c>
      <c r="Q6" s="684"/>
      <c r="R6" s="470" t="s">
        <v>150</v>
      </c>
      <c r="S6" s="470">
        <v>453</v>
      </c>
      <c r="T6" s="335">
        <v>1.85</v>
      </c>
      <c r="U6" s="481">
        <v>285</v>
      </c>
      <c r="V6" s="482">
        <f t="shared" si="2"/>
        <v>238844.25000000003</v>
      </c>
      <c r="W6" s="640"/>
      <c r="X6" s="624"/>
      <c r="Y6" s="694"/>
      <c r="Z6" s="694"/>
      <c r="AA6" s="692"/>
      <c r="AB6" s="697"/>
      <c r="AC6" s="388">
        <v>36</v>
      </c>
      <c r="AD6" s="469">
        <v>15</v>
      </c>
    </row>
    <row r="7" spans="1:30">
      <c r="A7" s="685" t="s">
        <v>287</v>
      </c>
      <c r="B7" s="406" t="s">
        <v>110</v>
      </c>
      <c r="C7" s="412">
        <f t="shared" ref="C7:C31" si="3">O7-S7</f>
        <v>567</v>
      </c>
      <c r="D7" s="406">
        <v>1.88</v>
      </c>
      <c r="E7" s="403">
        <v>285</v>
      </c>
      <c r="F7" s="107">
        <f t="shared" si="1"/>
        <v>303798.60000000003</v>
      </c>
      <c r="G7" s="640">
        <v>2918</v>
      </c>
      <c r="H7" s="640">
        <v>7906</v>
      </c>
      <c r="I7" s="590">
        <v>700</v>
      </c>
      <c r="J7" s="590">
        <f>G7/H7*SUM(C7:C14)*I7</f>
        <v>1076330.83733873</v>
      </c>
      <c r="K7" s="582">
        <f>J7+SUM(F7:F14)</f>
        <v>3308473.6373387296</v>
      </c>
      <c r="L7" s="598">
        <f>K7/SUM(C7:C14)</f>
        <v>794.16073867948387</v>
      </c>
      <c r="M7" s="388">
        <v>36</v>
      </c>
      <c r="N7" s="411">
        <f t="shared" ref="N7:N32" si="4">M7-AD7</f>
        <v>19</v>
      </c>
      <c r="O7" s="361">
        <v>1077</v>
      </c>
      <c r="P7">
        <f t="shared" si="0"/>
        <v>0</v>
      </c>
      <c r="Q7" s="685" t="s">
        <v>287</v>
      </c>
      <c r="R7" s="472" t="s">
        <v>110</v>
      </c>
      <c r="S7" s="470">
        <v>510</v>
      </c>
      <c r="T7" s="472">
        <v>1.88</v>
      </c>
      <c r="U7" s="481">
        <v>285</v>
      </c>
      <c r="V7" s="482">
        <f t="shared" si="2"/>
        <v>273258</v>
      </c>
      <c r="W7" s="640">
        <v>2500</v>
      </c>
      <c r="X7" s="640">
        <v>7906</v>
      </c>
      <c r="Y7" s="694">
        <v>700</v>
      </c>
      <c r="Z7" s="694">
        <f>W7/X7*SUM(S7:S14)*Y7</f>
        <v>830065.77283076139</v>
      </c>
      <c r="AA7" s="692">
        <f>Z7+SUM(V7:V14)</f>
        <v>2839315.7728307615</v>
      </c>
      <c r="AB7" s="695">
        <f>AA7/SUM(S7:S14)</f>
        <v>757.15087275486974</v>
      </c>
      <c r="AC7" s="388">
        <v>36</v>
      </c>
      <c r="AD7" s="469">
        <v>17</v>
      </c>
    </row>
    <row r="8" spans="1:30">
      <c r="A8" s="686"/>
      <c r="B8" s="406" t="s">
        <v>100</v>
      </c>
      <c r="C8" s="412">
        <f t="shared" si="3"/>
        <v>590</v>
      </c>
      <c r="D8" s="406">
        <v>1.88</v>
      </c>
      <c r="E8" s="403">
        <v>285</v>
      </c>
      <c r="F8" s="107">
        <f t="shared" si="1"/>
        <v>316122</v>
      </c>
      <c r="G8" s="640"/>
      <c r="H8" s="640"/>
      <c r="I8" s="590"/>
      <c r="J8" s="590"/>
      <c r="K8" s="582"/>
      <c r="L8" s="601"/>
      <c r="M8" s="388">
        <v>38</v>
      </c>
      <c r="N8" s="411">
        <f t="shared" si="4"/>
        <v>20</v>
      </c>
      <c r="O8" s="361">
        <v>1130</v>
      </c>
      <c r="P8">
        <f t="shared" si="0"/>
        <v>0</v>
      </c>
      <c r="Q8" s="686"/>
      <c r="R8" s="472" t="s">
        <v>100</v>
      </c>
      <c r="S8" s="470">
        <v>540</v>
      </c>
      <c r="T8" s="472">
        <v>1.88</v>
      </c>
      <c r="U8" s="481">
        <v>285</v>
      </c>
      <c r="V8" s="482">
        <f t="shared" si="2"/>
        <v>289332</v>
      </c>
      <c r="W8" s="640"/>
      <c r="X8" s="640"/>
      <c r="Y8" s="694"/>
      <c r="Z8" s="694"/>
      <c r="AA8" s="692"/>
      <c r="AB8" s="696"/>
      <c r="AC8" s="388">
        <v>38</v>
      </c>
      <c r="AD8" s="469">
        <v>18</v>
      </c>
    </row>
    <row r="9" spans="1:30">
      <c r="A9" s="686"/>
      <c r="B9" s="406" t="s">
        <v>98</v>
      </c>
      <c r="C9" s="412">
        <f t="shared" si="3"/>
        <v>704</v>
      </c>
      <c r="D9" s="406">
        <v>1.88</v>
      </c>
      <c r="E9" s="403">
        <v>285</v>
      </c>
      <c r="F9" s="107">
        <f t="shared" si="1"/>
        <v>377203.20000000001</v>
      </c>
      <c r="G9" s="640"/>
      <c r="H9" s="640"/>
      <c r="I9" s="590"/>
      <c r="J9" s="590"/>
      <c r="K9" s="582"/>
      <c r="L9" s="601"/>
      <c r="M9" s="388">
        <v>44</v>
      </c>
      <c r="N9" s="411">
        <f t="shared" si="4"/>
        <v>24</v>
      </c>
      <c r="O9" s="361">
        <v>1304</v>
      </c>
      <c r="P9">
        <f t="shared" si="0"/>
        <v>0</v>
      </c>
      <c r="Q9" s="686"/>
      <c r="R9" s="472" t="s">
        <v>98</v>
      </c>
      <c r="S9" s="470">
        <v>600</v>
      </c>
      <c r="T9" s="472">
        <v>1.88</v>
      </c>
      <c r="U9" s="481">
        <v>285</v>
      </c>
      <c r="V9" s="482">
        <f t="shared" si="2"/>
        <v>321480</v>
      </c>
      <c r="W9" s="640"/>
      <c r="X9" s="640"/>
      <c r="Y9" s="694"/>
      <c r="Z9" s="694"/>
      <c r="AA9" s="692"/>
      <c r="AB9" s="696"/>
      <c r="AC9" s="388">
        <v>44</v>
      </c>
      <c r="AD9" s="469">
        <v>20</v>
      </c>
    </row>
    <row r="10" spans="1:30">
      <c r="A10" s="686"/>
      <c r="B10" s="406" t="s">
        <v>150</v>
      </c>
      <c r="C10" s="412">
        <f t="shared" si="3"/>
        <v>602</v>
      </c>
      <c r="D10" s="406">
        <v>1.88</v>
      </c>
      <c r="E10" s="403">
        <v>285</v>
      </c>
      <c r="F10" s="107">
        <f t="shared" si="1"/>
        <v>322551.59999999998</v>
      </c>
      <c r="G10" s="640"/>
      <c r="H10" s="640"/>
      <c r="I10" s="590"/>
      <c r="J10" s="590"/>
      <c r="K10" s="582"/>
      <c r="L10" s="601"/>
      <c r="M10" s="388">
        <v>38</v>
      </c>
      <c r="N10" s="411">
        <f t="shared" si="4"/>
        <v>20</v>
      </c>
      <c r="O10" s="361">
        <v>1142</v>
      </c>
      <c r="P10">
        <f t="shared" si="0"/>
        <v>0</v>
      </c>
      <c r="Q10" s="686"/>
      <c r="R10" s="472" t="s">
        <v>150</v>
      </c>
      <c r="S10" s="470">
        <v>540</v>
      </c>
      <c r="T10" s="472">
        <v>1.88</v>
      </c>
      <c r="U10" s="481">
        <v>285</v>
      </c>
      <c r="V10" s="482">
        <f t="shared" si="2"/>
        <v>289332</v>
      </c>
      <c r="W10" s="640"/>
      <c r="X10" s="640"/>
      <c r="Y10" s="694"/>
      <c r="Z10" s="694"/>
      <c r="AA10" s="692"/>
      <c r="AB10" s="696"/>
      <c r="AC10" s="388">
        <v>38</v>
      </c>
      <c r="AD10" s="469">
        <v>18</v>
      </c>
    </row>
    <row r="11" spans="1:30">
      <c r="A11" s="686"/>
      <c r="B11" s="406" t="s">
        <v>102</v>
      </c>
      <c r="C11" s="412">
        <f t="shared" si="3"/>
        <v>381</v>
      </c>
      <c r="D11" s="406">
        <v>1.88</v>
      </c>
      <c r="E11" s="403">
        <v>285</v>
      </c>
      <c r="F11" s="107">
        <f t="shared" si="1"/>
        <v>204139.8</v>
      </c>
      <c r="G11" s="640"/>
      <c r="H11" s="640"/>
      <c r="I11" s="590"/>
      <c r="J11" s="590"/>
      <c r="K11" s="582"/>
      <c r="L11" s="601"/>
      <c r="M11" s="388">
        <v>26</v>
      </c>
      <c r="N11" s="411">
        <f t="shared" si="4"/>
        <v>13</v>
      </c>
      <c r="O11" s="361">
        <v>771</v>
      </c>
      <c r="P11">
        <f t="shared" si="0"/>
        <v>0</v>
      </c>
      <c r="Q11" s="686"/>
      <c r="R11" s="472" t="s">
        <v>102</v>
      </c>
      <c r="S11" s="470">
        <v>390</v>
      </c>
      <c r="T11" s="472">
        <v>1.88</v>
      </c>
      <c r="U11" s="481">
        <v>285</v>
      </c>
      <c r="V11" s="482">
        <f t="shared" si="2"/>
        <v>208961.99999999997</v>
      </c>
      <c r="W11" s="640"/>
      <c r="X11" s="640"/>
      <c r="Y11" s="694"/>
      <c r="Z11" s="694"/>
      <c r="AA11" s="692"/>
      <c r="AB11" s="696"/>
      <c r="AC11" s="388">
        <v>26</v>
      </c>
      <c r="AD11" s="469">
        <v>13</v>
      </c>
    </row>
    <row r="12" spans="1:30">
      <c r="A12" s="686"/>
      <c r="B12" s="406" t="s">
        <v>244</v>
      </c>
      <c r="C12" s="412">
        <f t="shared" si="3"/>
        <v>408</v>
      </c>
      <c r="D12" s="406">
        <v>1.88</v>
      </c>
      <c r="E12" s="403">
        <v>285</v>
      </c>
      <c r="F12" s="107">
        <f t="shared" si="1"/>
        <v>218606.4</v>
      </c>
      <c r="G12" s="640"/>
      <c r="H12" s="640"/>
      <c r="I12" s="590"/>
      <c r="J12" s="590"/>
      <c r="K12" s="582"/>
      <c r="L12" s="601"/>
      <c r="M12" s="388">
        <v>25</v>
      </c>
      <c r="N12" s="411">
        <f t="shared" si="4"/>
        <v>13</v>
      </c>
      <c r="O12" s="361">
        <v>768</v>
      </c>
      <c r="P12">
        <f t="shared" si="0"/>
        <v>0</v>
      </c>
      <c r="Q12" s="686"/>
      <c r="R12" s="472" t="s">
        <v>244</v>
      </c>
      <c r="S12" s="470">
        <v>360</v>
      </c>
      <c r="T12" s="472">
        <v>1.88</v>
      </c>
      <c r="U12" s="481">
        <v>285</v>
      </c>
      <c r="V12" s="482">
        <f t="shared" si="2"/>
        <v>192888</v>
      </c>
      <c r="W12" s="640"/>
      <c r="X12" s="640"/>
      <c r="Y12" s="694"/>
      <c r="Z12" s="694"/>
      <c r="AA12" s="692"/>
      <c r="AB12" s="696"/>
      <c r="AC12" s="388">
        <v>25</v>
      </c>
      <c r="AD12" s="469">
        <v>12</v>
      </c>
    </row>
    <row r="13" spans="1:30">
      <c r="A13" s="686"/>
      <c r="B13" s="406" t="s">
        <v>327</v>
      </c>
      <c r="C13" s="412">
        <f t="shared" si="3"/>
        <v>401</v>
      </c>
      <c r="D13" s="406">
        <v>1.88</v>
      </c>
      <c r="E13" s="403">
        <v>285</v>
      </c>
      <c r="F13" s="107">
        <f t="shared" si="1"/>
        <v>214855.8</v>
      </c>
      <c r="G13" s="640"/>
      <c r="H13" s="640"/>
      <c r="I13" s="590"/>
      <c r="J13" s="590"/>
      <c r="K13" s="582"/>
      <c r="L13" s="601"/>
      <c r="M13" s="388">
        <v>25</v>
      </c>
      <c r="N13" s="411">
        <f t="shared" si="4"/>
        <v>13</v>
      </c>
      <c r="O13" s="361">
        <v>761</v>
      </c>
      <c r="P13">
        <f t="shared" si="0"/>
        <v>0</v>
      </c>
      <c r="Q13" s="686"/>
      <c r="R13" s="472" t="s">
        <v>327</v>
      </c>
      <c r="S13" s="470">
        <v>360</v>
      </c>
      <c r="T13" s="472">
        <v>1.88</v>
      </c>
      <c r="U13" s="481">
        <v>285</v>
      </c>
      <c r="V13" s="482">
        <f t="shared" si="2"/>
        <v>192888</v>
      </c>
      <c r="W13" s="640"/>
      <c r="X13" s="640"/>
      <c r="Y13" s="694"/>
      <c r="Z13" s="694"/>
      <c r="AA13" s="692"/>
      <c r="AB13" s="696"/>
      <c r="AC13" s="388">
        <v>25</v>
      </c>
      <c r="AD13" s="469">
        <v>12</v>
      </c>
    </row>
    <row r="14" spans="1:30">
      <c r="A14" s="687"/>
      <c r="B14" s="406" t="s">
        <v>101</v>
      </c>
      <c r="C14" s="412">
        <f t="shared" si="3"/>
        <v>513</v>
      </c>
      <c r="D14" s="406">
        <v>1.88</v>
      </c>
      <c r="E14" s="403">
        <v>285</v>
      </c>
      <c r="F14" s="107">
        <f t="shared" si="1"/>
        <v>274865.39999999997</v>
      </c>
      <c r="G14" s="640"/>
      <c r="H14" s="640"/>
      <c r="I14" s="590"/>
      <c r="J14" s="590"/>
      <c r="K14" s="582"/>
      <c r="L14" s="599"/>
      <c r="M14" s="388">
        <v>32</v>
      </c>
      <c r="N14" s="411">
        <f t="shared" si="4"/>
        <v>17</v>
      </c>
      <c r="O14" s="361">
        <v>963</v>
      </c>
      <c r="P14">
        <f t="shared" si="0"/>
        <v>0</v>
      </c>
      <c r="Q14" s="687"/>
      <c r="R14" s="472" t="s">
        <v>101</v>
      </c>
      <c r="S14" s="470">
        <v>450</v>
      </c>
      <c r="T14" s="472">
        <v>1.88</v>
      </c>
      <c r="U14" s="481">
        <v>285</v>
      </c>
      <c r="V14" s="482">
        <f t="shared" si="2"/>
        <v>241110</v>
      </c>
      <c r="W14" s="640"/>
      <c r="X14" s="640"/>
      <c r="Y14" s="694"/>
      <c r="Z14" s="694"/>
      <c r="AA14" s="692"/>
      <c r="AB14" s="697"/>
      <c r="AC14" s="388">
        <v>32</v>
      </c>
      <c r="AD14" s="469">
        <v>15</v>
      </c>
    </row>
    <row r="15" spans="1:30">
      <c r="A15" s="685" t="s">
        <v>352</v>
      </c>
      <c r="B15" s="406" t="s">
        <v>353</v>
      </c>
      <c r="C15" s="412">
        <f t="shared" si="3"/>
        <v>19200</v>
      </c>
      <c r="D15" s="415">
        <v>0.28000000000000003</v>
      </c>
      <c r="E15" s="403">
        <v>285</v>
      </c>
      <c r="F15" s="107">
        <f t="shared" si="1"/>
        <v>1532160.0000000002</v>
      </c>
      <c r="G15" s="624">
        <v>927</v>
      </c>
      <c r="H15" s="590">
        <v>51000</v>
      </c>
      <c r="I15" s="590">
        <v>350</v>
      </c>
      <c r="J15" s="590">
        <f>G15/H15*SUM(C15:C26)*I15</f>
        <v>324450</v>
      </c>
      <c r="K15" s="582">
        <f>J15+SUM(F15:F26)</f>
        <v>4528200</v>
      </c>
      <c r="L15" s="582">
        <f>K15/SUM(C15:C26)</f>
        <v>88.788235294117641</v>
      </c>
      <c r="M15" s="388">
        <v>16</v>
      </c>
      <c r="N15" s="411">
        <f t="shared" si="4"/>
        <v>16</v>
      </c>
      <c r="O15" s="361">
        <v>19200</v>
      </c>
      <c r="P15">
        <f t="shared" si="0"/>
        <v>0</v>
      </c>
      <c r="Q15" s="685" t="s">
        <v>352</v>
      </c>
      <c r="R15" s="472" t="s">
        <v>353</v>
      </c>
      <c r="S15" s="470">
        <v>0</v>
      </c>
      <c r="T15" s="415">
        <v>0.28000000000000003</v>
      </c>
      <c r="U15" s="481">
        <v>285</v>
      </c>
      <c r="V15" s="482">
        <f t="shared" si="2"/>
        <v>0</v>
      </c>
      <c r="W15" s="624">
        <v>927</v>
      </c>
      <c r="X15" s="694">
        <v>51000</v>
      </c>
      <c r="Y15" s="694">
        <v>350</v>
      </c>
      <c r="Z15" s="694">
        <f>W15/X15*SUM(S15:S26)*Y15</f>
        <v>0</v>
      </c>
      <c r="AA15" s="692">
        <f>Z15+SUM(V15:V26)</f>
        <v>0</v>
      </c>
      <c r="AB15" s="692" t="e">
        <f>AA15/SUM(S15:S26)</f>
        <v>#DIV/0!</v>
      </c>
      <c r="AC15" s="388">
        <v>16</v>
      </c>
      <c r="AD15" s="469">
        <v>0</v>
      </c>
    </row>
    <row r="16" spans="1:30" ht="15" customHeight="1">
      <c r="A16" s="686"/>
      <c r="B16" s="406" t="s">
        <v>354</v>
      </c>
      <c r="C16" s="412">
        <f t="shared" si="3"/>
        <v>4800</v>
      </c>
      <c r="D16" s="415">
        <v>0.27</v>
      </c>
      <c r="E16" s="403">
        <v>285</v>
      </c>
      <c r="F16" s="107">
        <f t="shared" si="1"/>
        <v>369360</v>
      </c>
      <c r="G16" s="624"/>
      <c r="H16" s="590"/>
      <c r="I16" s="590"/>
      <c r="J16" s="590"/>
      <c r="K16" s="582"/>
      <c r="L16" s="582"/>
      <c r="M16" s="388">
        <v>4</v>
      </c>
      <c r="N16" s="411">
        <f t="shared" si="4"/>
        <v>4</v>
      </c>
      <c r="O16" s="361">
        <v>4800</v>
      </c>
      <c r="P16">
        <f t="shared" si="0"/>
        <v>0</v>
      </c>
      <c r="Q16" s="686"/>
      <c r="R16" s="472" t="s">
        <v>354</v>
      </c>
      <c r="S16" s="470">
        <v>0</v>
      </c>
      <c r="T16" s="415">
        <v>0.27</v>
      </c>
      <c r="U16" s="481">
        <v>285</v>
      </c>
      <c r="V16" s="482">
        <f t="shared" si="2"/>
        <v>0</v>
      </c>
      <c r="W16" s="624"/>
      <c r="X16" s="694"/>
      <c r="Y16" s="694"/>
      <c r="Z16" s="694"/>
      <c r="AA16" s="692"/>
      <c r="AB16" s="692"/>
      <c r="AC16" s="388">
        <v>4</v>
      </c>
      <c r="AD16" s="469">
        <v>0</v>
      </c>
    </row>
    <row r="17" spans="1:30">
      <c r="A17" s="686"/>
      <c r="B17" s="406" t="s">
        <v>355</v>
      </c>
      <c r="C17" s="412">
        <f t="shared" si="3"/>
        <v>2400</v>
      </c>
      <c r="D17" s="415">
        <v>0.3</v>
      </c>
      <c r="E17" s="403">
        <v>285</v>
      </c>
      <c r="F17" s="107">
        <f t="shared" si="1"/>
        <v>205200</v>
      </c>
      <c r="G17" s="624"/>
      <c r="H17" s="590"/>
      <c r="I17" s="590"/>
      <c r="J17" s="590"/>
      <c r="K17" s="582"/>
      <c r="L17" s="582"/>
      <c r="M17" s="388">
        <v>2</v>
      </c>
      <c r="N17" s="411">
        <f t="shared" si="4"/>
        <v>2</v>
      </c>
      <c r="O17" s="361">
        <v>2400</v>
      </c>
      <c r="P17">
        <f t="shared" si="0"/>
        <v>0</v>
      </c>
      <c r="Q17" s="686"/>
      <c r="R17" s="472" t="s">
        <v>355</v>
      </c>
      <c r="S17" s="470">
        <v>0</v>
      </c>
      <c r="T17" s="415">
        <v>0.3</v>
      </c>
      <c r="U17" s="481">
        <v>285</v>
      </c>
      <c r="V17" s="482">
        <f t="shared" si="2"/>
        <v>0</v>
      </c>
      <c r="W17" s="624"/>
      <c r="X17" s="694"/>
      <c r="Y17" s="694"/>
      <c r="Z17" s="694"/>
      <c r="AA17" s="692"/>
      <c r="AB17" s="692"/>
      <c r="AC17" s="388">
        <v>2</v>
      </c>
      <c r="AD17" s="469">
        <v>0</v>
      </c>
    </row>
    <row r="18" spans="1:30">
      <c r="A18" s="686"/>
      <c r="B18" s="405" t="s">
        <v>356</v>
      </c>
      <c r="C18" s="412">
        <f t="shared" si="3"/>
        <v>14400</v>
      </c>
      <c r="D18" s="415">
        <v>0.3</v>
      </c>
      <c r="E18" s="403">
        <v>285</v>
      </c>
      <c r="F18" s="107">
        <f t="shared" si="1"/>
        <v>1231200</v>
      </c>
      <c r="G18" s="624"/>
      <c r="H18" s="590"/>
      <c r="I18" s="590"/>
      <c r="J18" s="590"/>
      <c r="K18" s="582"/>
      <c r="L18" s="582"/>
      <c r="M18" s="388">
        <v>12</v>
      </c>
      <c r="N18" s="411">
        <f t="shared" si="4"/>
        <v>12</v>
      </c>
      <c r="O18" s="361">
        <v>14400</v>
      </c>
      <c r="P18">
        <f t="shared" si="0"/>
        <v>0</v>
      </c>
      <c r="Q18" s="686"/>
      <c r="R18" s="470" t="s">
        <v>356</v>
      </c>
      <c r="S18" s="470">
        <v>0</v>
      </c>
      <c r="T18" s="415">
        <v>0.3</v>
      </c>
      <c r="U18" s="481">
        <v>285</v>
      </c>
      <c r="V18" s="482">
        <f t="shared" si="2"/>
        <v>0</v>
      </c>
      <c r="W18" s="624"/>
      <c r="X18" s="694"/>
      <c r="Y18" s="694"/>
      <c r="Z18" s="694"/>
      <c r="AA18" s="692"/>
      <c r="AB18" s="692"/>
      <c r="AC18" s="388">
        <v>12</v>
      </c>
      <c r="AD18" s="469">
        <v>0</v>
      </c>
    </row>
    <row r="19" spans="1:30">
      <c r="A19" s="686"/>
      <c r="B19" s="405" t="s">
        <v>357</v>
      </c>
      <c r="C19" s="412">
        <f t="shared" si="3"/>
        <v>4800</v>
      </c>
      <c r="D19" s="415">
        <v>0.3</v>
      </c>
      <c r="E19" s="403">
        <v>285</v>
      </c>
      <c r="F19" s="107">
        <f t="shared" si="1"/>
        <v>410400</v>
      </c>
      <c r="G19" s="624"/>
      <c r="H19" s="590"/>
      <c r="I19" s="590"/>
      <c r="J19" s="590"/>
      <c r="K19" s="582"/>
      <c r="L19" s="582"/>
      <c r="M19" s="388">
        <v>4</v>
      </c>
      <c r="N19" s="411">
        <f t="shared" si="4"/>
        <v>4</v>
      </c>
      <c r="O19" s="361">
        <v>4800</v>
      </c>
      <c r="P19">
        <f t="shared" si="0"/>
        <v>0</v>
      </c>
      <c r="Q19" s="686"/>
      <c r="R19" s="470" t="s">
        <v>357</v>
      </c>
      <c r="S19" s="470">
        <v>0</v>
      </c>
      <c r="T19" s="415">
        <v>0.3</v>
      </c>
      <c r="U19" s="481">
        <v>285</v>
      </c>
      <c r="V19" s="482">
        <f t="shared" si="2"/>
        <v>0</v>
      </c>
      <c r="W19" s="624"/>
      <c r="X19" s="694"/>
      <c r="Y19" s="694"/>
      <c r="Z19" s="694"/>
      <c r="AA19" s="692"/>
      <c r="AB19" s="692"/>
      <c r="AC19" s="388">
        <v>4</v>
      </c>
      <c r="AD19" s="469">
        <v>0</v>
      </c>
    </row>
    <row r="20" spans="1:30">
      <c r="A20" s="686"/>
      <c r="B20" s="405" t="s">
        <v>358</v>
      </c>
      <c r="C20" s="412">
        <f t="shared" si="3"/>
        <v>2400</v>
      </c>
      <c r="D20" s="415">
        <v>0.3</v>
      </c>
      <c r="E20" s="403">
        <v>285</v>
      </c>
      <c r="F20" s="107">
        <f t="shared" si="1"/>
        <v>205200</v>
      </c>
      <c r="G20" s="624"/>
      <c r="H20" s="590"/>
      <c r="I20" s="590"/>
      <c r="J20" s="590"/>
      <c r="K20" s="582"/>
      <c r="L20" s="582"/>
      <c r="M20" s="388">
        <v>2</v>
      </c>
      <c r="N20" s="411">
        <f t="shared" si="4"/>
        <v>2</v>
      </c>
      <c r="O20" s="361">
        <v>2400</v>
      </c>
      <c r="P20">
        <f t="shared" si="0"/>
        <v>0</v>
      </c>
      <c r="Q20" s="686"/>
      <c r="R20" s="470" t="s">
        <v>358</v>
      </c>
      <c r="S20" s="470">
        <v>0</v>
      </c>
      <c r="T20" s="415">
        <v>0.3</v>
      </c>
      <c r="U20" s="481">
        <v>285</v>
      </c>
      <c r="V20" s="482">
        <f t="shared" si="2"/>
        <v>0</v>
      </c>
      <c r="W20" s="624"/>
      <c r="X20" s="694"/>
      <c r="Y20" s="694"/>
      <c r="Z20" s="694"/>
      <c r="AA20" s="692"/>
      <c r="AB20" s="692"/>
      <c r="AC20" s="388">
        <v>2</v>
      </c>
      <c r="AD20" s="469">
        <v>0</v>
      </c>
    </row>
    <row r="21" spans="1:30">
      <c r="A21" s="686"/>
      <c r="B21" s="405" t="s">
        <v>358</v>
      </c>
      <c r="C21" s="412">
        <f t="shared" si="3"/>
        <v>600</v>
      </c>
      <c r="D21" s="415">
        <v>0.3</v>
      </c>
      <c r="E21" s="403">
        <v>285</v>
      </c>
      <c r="F21" s="107">
        <f t="shared" si="1"/>
        <v>51300</v>
      </c>
      <c r="G21" s="624"/>
      <c r="H21" s="590"/>
      <c r="I21" s="590"/>
      <c r="J21" s="590"/>
      <c r="K21" s="582"/>
      <c r="L21" s="582"/>
      <c r="M21" s="388">
        <v>1</v>
      </c>
      <c r="N21" s="411">
        <f t="shared" si="4"/>
        <v>1</v>
      </c>
      <c r="O21" s="361">
        <v>600</v>
      </c>
      <c r="P21">
        <f t="shared" si="0"/>
        <v>0</v>
      </c>
      <c r="Q21" s="686"/>
      <c r="R21" s="470" t="s">
        <v>358</v>
      </c>
      <c r="S21" s="470">
        <v>0</v>
      </c>
      <c r="T21" s="415">
        <v>0.3</v>
      </c>
      <c r="U21" s="481">
        <v>285</v>
      </c>
      <c r="V21" s="482">
        <f t="shared" si="2"/>
        <v>0</v>
      </c>
      <c r="W21" s="624"/>
      <c r="X21" s="694"/>
      <c r="Y21" s="694"/>
      <c r="Z21" s="694"/>
      <c r="AA21" s="692"/>
      <c r="AB21" s="692"/>
      <c r="AC21" s="388">
        <v>1</v>
      </c>
      <c r="AD21" s="469">
        <v>0</v>
      </c>
    </row>
    <row r="22" spans="1:30">
      <c r="A22" s="686"/>
      <c r="B22" s="405" t="s">
        <v>353</v>
      </c>
      <c r="C22" s="412">
        <f t="shared" si="3"/>
        <v>800</v>
      </c>
      <c r="D22" s="415">
        <v>0.28000000000000003</v>
      </c>
      <c r="E22" s="403">
        <v>285</v>
      </c>
      <c r="F22" s="107">
        <f t="shared" si="1"/>
        <v>63840.000000000007</v>
      </c>
      <c r="G22" s="624"/>
      <c r="H22" s="590"/>
      <c r="I22" s="590"/>
      <c r="J22" s="590"/>
      <c r="K22" s="582"/>
      <c r="L22" s="582"/>
      <c r="M22" s="388">
        <v>0</v>
      </c>
      <c r="N22" s="411">
        <f t="shared" si="4"/>
        <v>0</v>
      </c>
      <c r="O22" s="361">
        <v>800</v>
      </c>
      <c r="P22">
        <f t="shared" si="0"/>
        <v>0</v>
      </c>
      <c r="Q22" s="686"/>
      <c r="R22" s="470" t="s">
        <v>353</v>
      </c>
      <c r="S22" s="470">
        <v>0</v>
      </c>
      <c r="T22" s="415">
        <v>0.28000000000000003</v>
      </c>
      <c r="U22" s="481">
        <v>285</v>
      </c>
      <c r="V22" s="482">
        <f t="shared" si="2"/>
        <v>0</v>
      </c>
      <c r="W22" s="624"/>
      <c r="X22" s="694"/>
      <c r="Y22" s="694"/>
      <c r="Z22" s="694"/>
      <c r="AA22" s="692"/>
      <c r="AB22" s="692"/>
      <c r="AC22" s="388">
        <v>0</v>
      </c>
      <c r="AD22" s="469">
        <v>0</v>
      </c>
    </row>
    <row r="23" spans="1:30">
      <c r="A23" s="686"/>
      <c r="B23" s="405" t="s">
        <v>354</v>
      </c>
      <c r="C23" s="412">
        <f t="shared" si="3"/>
        <v>200</v>
      </c>
      <c r="D23" s="415">
        <v>0.27</v>
      </c>
      <c r="E23" s="403">
        <v>285</v>
      </c>
      <c r="F23" s="107">
        <f t="shared" si="1"/>
        <v>15390</v>
      </c>
      <c r="G23" s="624"/>
      <c r="H23" s="590"/>
      <c r="I23" s="590"/>
      <c r="J23" s="590"/>
      <c r="K23" s="582"/>
      <c r="L23" s="582"/>
      <c r="M23" s="388">
        <v>0</v>
      </c>
      <c r="N23" s="411">
        <f t="shared" si="4"/>
        <v>0</v>
      </c>
      <c r="O23" s="361">
        <v>200</v>
      </c>
      <c r="P23">
        <f t="shared" si="0"/>
        <v>0</v>
      </c>
      <c r="Q23" s="686"/>
      <c r="R23" s="470" t="s">
        <v>354</v>
      </c>
      <c r="S23" s="470">
        <v>0</v>
      </c>
      <c r="T23" s="415">
        <v>0.27</v>
      </c>
      <c r="U23" s="481">
        <v>285</v>
      </c>
      <c r="V23" s="482">
        <f t="shared" si="2"/>
        <v>0</v>
      </c>
      <c r="W23" s="624"/>
      <c r="X23" s="694"/>
      <c r="Y23" s="694"/>
      <c r="Z23" s="694"/>
      <c r="AA23" s="692"/>
      <c r="AB23" s="692"/>
      <c r="AC23" s="388">
        <v>0</v>
      </c>
      <c r="AD23" s="469">
        <v>0</v>
      </c>
    </row>
    <row r="24" spans="1:30">
      <c r="A24" s="686"/>
      <c r="B24" s="405" t="s">
        <v>357</v>
      </c>
      <c r="C24" s="412">
        <f t="shared" si="3"/>
        <v>200</v>
      </c>
      <c r="D24" s="415">
        <v>0.3</v>
      </c>
      <c r="E24" s="403">
        <v>285</v>
      </c>
      <c r="F24" s="107">
        <f t="shared" si="1"/>
        <v>17100</v>
      </c>
      <c r="G24" s="624"/>
      <c r="H24" s="590"/>
      <c r="I24" s="590"/>
      <c r="J24" s="590"/>
      <c r="K24" s="582"/>
      <c r="L24" s="582"/>
      <c r="M24" s="388">
        <v>1</v>
      </c>
      <c r="N24" s="411">
        <f t="shared" si="4"/>
        <v>1</v>
      </c>
      <c r="O24" s="361">
        <v>200</v>
      </c>
      <c r="P24">
        <f t="shared" si="0"/>
        <v>0</v>
      </c>
      <c r="Q24" s="686"/>
      <c r="R24" s="470" t="s">
        <v>357</v>
      </c>
      <c r="S24" s="470">
        <v>0</v>
      </c>
      <c r="T24" s="415">
        <v>0.3</v>
      </c>
      <c r="U24" s="481">
        <v>285</v>
      </c>
      <c r="V24" s="482">
        <f t="shared" si="2"/>
        <v>0</v>
      </c>
      <c r="W24" s="624"/>
      <c r="X24" s="694"/>
      <c r="Y24" s="694"/>
      <c r="Z24" s="694"/>
      <c r="AA24" s="692"/>
      <c r="AB24" s="692"/>
      <c r="AC24" s="388">
        <v>1</v>
      </c>
      <c r="AD24" s="469">
        <v>0</v>
      </c>
    </row>
    <row r="25" spans="1:30">
      <c r="A25" s="686"/>
      <c r="B25" s="405" t="s">
        <v>355</v>
      </c>
      <c r="C25" s="412">
        <f t="shared" si="3"/>
        <v>600</v>
      </c>
      <c r="D25" s="415">
        <v>0.3</v>
      </c>
      <c r="E25" s="403">
        <v>285</v>
      </c>
      <c r="F25" s="107">
        <f t="shared" si="1"/>
        <v>51300</v>
      </c>
      <c r="G25" s="624"/>
      <c r="H25" s="590"/>
      <c r="I25" s="590"/>
      <c r="J25" s="590"/>
      <c r="K25" s="582"/>
      <c r="L25" s="582"/>
      <c r="M25" s="388">
        <v>0</v>
      </c>
      <c r="N25" s="411">
        <f t="shared" si="4"/>
        <v>0</v>
      </c>
      <c r="O25" s="361">
        <v>600</v>
      </c>
      <c r="P25">
        <f t="shared" si="0"/>
        <v>0</v>
      </c>
      <c r="Q25" s="686"/>
      <c r="R25" s="470" t="s">
        <v>355</v>
      </c>
      <c r="S25" s="470">
        <v>0</v>
      </c>
      <c r="T25" s="415">
        <v>0.3</v>
      </c>
      <c r="U25" s="481">
        <v>285</v>
      </c>
      <c r="V25" s="482">
        <f t="shared" si="2"/>
        <v>0</v>
      </c>
      <c r="W25" s="624"/>
      <c r="X25" s="694"/>
      <c r="Y25" s="694"/>
      <c r="Z25" s="694"/>
      <c r="AA25" s="692"/>
      <c r="AB25" s="692"/>
      <c r="AC25" s="388">
        <v>0</v>
      </c>
      <c r="AD25" s="469">
        <v>0</v>
      </c>
    </row>
    <row r="26" spans="1:30" ht="15" customHeight="1">
      <c r="A26" s="687"/>
      <c r="B26" s="405" t="s">
        <v>356</v>
      </c>
      <c r="C26" s="412">
        <f t="shared" si="3"/>
        <v>600</v>
      </c>
      <c r="D26" s="415">
        <v>0.3</v>
      </c>
      <c r="E26" s="403">
        <v>285</v>
      </c>
      <c r="F26" s="107">
        <f t="shared" si="1"/>
        <v>51300</v>
      </c>
      <c r="G26" s="624"/>
      <c r="H26" s="590"/>
      <c r="I26" s="590"/>
      <c r="J26" s="590"/>
      <c r="K26" s="582"/>
      <c r="L26" s="582"/>
      <c r="M26" s="388">
        <v>1</v>
      </c>
      <c r="N26" s="411">
        <f t="shared" si="4"/>
        <v>1</v>
      </c>
      <c r="O26" s="361">
        <v>600</v>
      </c>
      <c r="P26">
        <f t="shared" si="0"/>
        <v>0</v>
      </c>
      <c r="Q26" s="687"/>
      <c r="R26" s="470" t="s">
        <v>356</v>
      </c>
      <c r="S26" s="470">
        <v>0</v>
      </c>
      <c r="T26" s="415">
        <v>0.3</v>
      </c>
      <c r="U26" s="481">
        <v>285</v>
      </c>
      <c r="V26" s="482">
        <f t="shared" si="2"/>
        <v>0</v>
      </c>
      <c r="W26" s="624"/>
      <c r="X26" s="694"/>
      <c r="Y26" s="694"/>
      <c r="Z26" s="694"/>
      <c r="AA26" s="692"/>
      <c r="AB26" s="692"/>
      <c r="AC26" s="388">
        <v>1</v>
      </c>
      <c r="AD26" s="469">
        <v>0</v>
      </c>
    </row>
    <row r="27" spans="1:30">
      <c r="A27" s="682" t="s">
        <v>238</v>
      </c>
      <c r="B27" s="405" t="s">
        <v>101</v>
      </c>
      <c r="C27" s="412">
        <f t="shared" si="3"/>
        <v>1157</v>
      </c>
      <c r="D27" s="335">
        <v>1.1200000000000001</v>
      </c>
      <c r="E27" s="403">
        <v>285</v>
      </c>
      <c r="F27" s="107">
        <f t="shared" si="1"/>
        <v>369314.4</v>
      </c>
      <c r="G27" s="640">
        <v>5577</v>
      </c>
      <c r="H27" s="582">
        <v>10997</v>
      </c>
      <c r="I27" s="590">
        <v>700</v>
      </c>
      <c r="J27" s="590">
        <f>G27/H27*SUM(C27:C31)*I27</f>
        <v>2295764.4175684275</v>
      </c>
      <c r="K27" s="582">
        <f>J27+SUM(F27:F31)</f>
        <v>4360030.8175684279</v>
      </c>
      <c r="L27" s="582">
        <f>K27/SUM(C27:C31)</f>
        <v>674.19681731381286</v>
      </c>
      <c r="M27" s="388">
        <v>41</v>
      </c>
      <c r="N27" s="411">
        <f t="shared" si="4"/>
        <v>23</v>
      </c>
      <c r="O27" s="417">
        <v>2057</v>
      </c>
      <c r="P27">
        <f t="shared" si="0"/>
        <v>0</v>
      </c>
      <c r="Q27" s="682" t="s">
        <v>238</v>
      </c>
      <c r="R27" s="470" t="s">
        <v>101</v>
      </c>
      <c r="S27" s="470">
        <v>900</v>
      </c>
      <c r="T27" s="335">
        <v>1.1200000000000001</v>
      </c>
      <c r="U27" s="481">
        <v>285</v>
      </c>
      <c r="V27" s="482">
        <f t="shared" si="2"/>
        <v>287280.00000000006</v>
      </c>
      <c r="W27" s="640">
        <v>5622</v>
      </c>
      <c r="X27" s="692">
        <v>10997</v>
      </c>
      <c r="Y27" s="694">
        <v>700</v>
      </c>
      <c r="Z27" s="694">
        <f>W27/X27*SUM(S27:S31)*Y27</f>
        <v>1621111.3940165499</v>
      </c>
      <c r="AA27" s="692">
        <f>Z27+SUM(V27:V31)</f>
        <v>3067087.3940165499</v>
      </c>
      <c r="AB27" s="692">
        <f>AA27/SUM(S27:S31)</f>
        <v>677.06123488224057</v>
      </c>
      <c r="AC27" s="388">
        <v>41</v>
      </c>
      <c r="AD27" s="469">
        <v>18</v>
      </c>
    </row>
    <row r="28" spans="1:30">
      <c r="A28" s="683"/>
      <c r="B28" s="405" t="s">
        <v>359</v>
      </c>
      <c r="C28" s="412">
        <f t="shared" si="3"/>
        <v>1351</v>
      </c>
      <c r="D28" s="335">
        <v>1.1200000000000001</v>
      </c>
      <c r="E28" s="403">
        <v>285</v>
      </c>
      <c r="F28" s="107">
        <f t="shared" si="1"/>
        <v>431239.2</v>
      </c>
      <c r="G28" s="640"/>
      <c r="H28" s="582"/>
      <c r="I28" s="590"/>
      <c r="J28" s="590"/>
      <c r="K28" s="582"/>
      <c r="L28" s="582"/>
      <c r="M28" s="388">
        <v>72</v>
      </c>
      <c r="N28" s="411">
        <f t="shared" si="4"/>
        <v>45</v>
      </c>
      <c r="O28" s="417">
        <v>2161</v>
      </c>
      <c r="P28">
        <f t="shared" si="0"/>
        <v>0</v>
      </c>
      <c r="Q28" s="683"/>
      <c r="R28" s="470" t="s">
        <v>359</v>
      </c>
      <c r="S28" s="470">
        <v>810</v>
      </c>
      <c r="T28" s="335">
        <v>1.1200000000000001</v>
      </c>
      <c r="U28" s="481">
        <v>285</v>
      </c>
      <c r="V28" s="482">
        <f t="shared" si="2"/>
        <v>258552</v>
      </c>
      <c r="W28" s="640"/>
      <c r="X28" s="692"/>
      <c r="Y28" s="694"/>
      <c r="Z28" s="694"/>
      <c r="AA28" s="692"/>
      <c r="AB28" s="692"/>
      <c r="AC28" s="388">
        <v>72</v>
      </c>
      <c r="AD28" s="469">
        <v>27</v>
      </c>
    </row>
    <row r="29" spans="1:30" ht="15" customHeight="1">
      <c r="A29" s="683"/>
      <c r="B29" s="405" t="s">
        <v>102</v>
      </c>
      <c r="C29" s="412">
        <f t="shared" si="3"/>
        <v>1014</v>
      </c>
      <c r="D29" s="335">
        <v>1.1200000000000001</v>
      </c>
      <c r="E29" s="403">
        <v>285</v>
      </c>
      <c r="F29" s="107">
        <f t="shared" si="1"/>
        <v>323668.80000000005</v>
      </c>
      <c r="G29" s="640"/>
      <c r="H29" s="582"/>
      <c r="I29" s="590"/>
      <c r="J29" s="590"/>
      <c r="K29" s="582"/>
      <c r="L29" s="582"/>
      <c r="M29" s="388">
        <v>58</v>
      </c>
      <c r="N29" s="411">
        <f t="shared" si="4"/>
        <v>34</v>
      </c>
      <c r="O29" s="417">
        <v>1734</v>
      </c>
      <c r="P29">
        <f t="shared" si="0"/>
        <v>0</v>
      </c>
      <c r="Q29" s="683"/>
      <c r="R29" s="470" t="s">
        <v>102</v>
      </c>
      <c r="S29" s="470">
        <v>720</v>
      </c>
      <c r="T29" s="335">
        <v>1.1200000000000001</v>
      </c>
      <c r="U29" s="481">
        <v>285</v>
      </c>
      <c r="V29" s="482">
        <f t="shared" si="2"/>
        <v>229824.00000000003</v>
      </c>
      <c r="W29" s="640"/>
      <c r="X29" s="692"/>
      <c r="Y29" s="694"/>
      <c r="Z29" s="694"/>
      <c r="AA29" s="692"/>
      <c r="AB29" s="692"/>
      <c r="AC29" s="388">
        <v>58</v>
      </c>
      <c r="AD29" s="469">
        <v>24</v>
      </c>
    </row>
    <row r="30" spans="1:30">
      <c r="A30" s="683"/>
      <c r="B30" s="405" t="s">
        <v>95</v>
      </c>
      <c r="C30" s="412">
        <f t="shared" si="3"/>
        <v>1200</v>
      </c>
      <c r="D30" s="335">
        <v>1.1200000000000001</v>
      </c>
      <c r="E30" s="403">
        <v>285</v>
      </c>
      <c r="F30" s="107">
        <f t="shared" si="1"/>
        <v>383040.00000000006</v>
      </c>
      <c r="G30" s="640"/>
      <c r="H30" s="582"/>
      <c r="I30" s="590"/>
      <c r="J30" s="590"/>
      <c r="K30" s="582"/>
      <c r="L30" s="582"/>
      <c r="M30" s="388">
        <v>69</v>
      </c>
      <c r="N30" s="411">
        <f t="shared" si="4"/>
        <v>40</v>
      </c>
      <c r="O30" s="417">
        <v>2070</v>
      </c>
      <c r="P30">
        <f t="shared" si="0"/>
        <v>0</v>
      </c>
      <c r="Q30" s="683"/>
      <c r="R30" s="470" t="s">
        <v>95</v>
      </c>
      <c r="S30" s="470">
        <v>870</v>
      </c>
      <c r="T30" s="335">
        <v>1.1200000000000001</v>
      </c>
      <c r="U30" s="481">
        <v>285</v>
      </c>
      <c r="V30" s="482">
        <f t="shared" si="2"/>
        <v>277704</v>
      </c>
      <c r="W30" s="640"/>
      <c r="X30" s="692"/>
      <c r="Y30" s="694"/>
      <c r="Z30" s="694"/>
      <c r="AA30" s="692"/>
      <c r="AB30" s="692"/>
      <c r="AC30" s="388">
        <v>69</v>
      </c>
      <c r="AD30" s="469">
        <v>29</v>
      </c>
    </row>
    <row r="31" spans="1:30">
      <c r="A31" s="684"/>
      <c r="B31" s="405" t="s">
        <v>245</v>
      </c>
      <c r="C31" s="412">
        <f t="shared" si="3"/>
        <v>1745</v>
      </c>
      <c r="D31" s="335">
        <v>1.1200000000000001</v>
      </c>
      <c r="E31" s="403">
        <v>285</v>
      </c>
      <c r="F31" s="107">
        <f t="shared" si="1"/>
        <v>557004</v>
      </c>
      <c r="G31" s="640"/>
      <c r="H31" s="582"/>
      <c r="I31" s="590"/>
      <c r="J31" s="590"/>
      <c r="K31" s="582"/>
      <c r="L31" s="582"/>
      <c r="M31" s="388">
        <v>99</v>
      </c>
      <c r="N31" s="411">
        <f t="shared" si="4"/>
        <v>58</v>
      </c>
      <c r="O31" s="417">
        <v>2975</v>
      </c>
      <c r="P31">
        <f t="shared" si="0"/>
        <v>0</v>
      </c>
      <c r="Q31" s="684"/>
      <c r="R31" s="470" t="s">
        <v>245</v>
      </c>
      <c r="S31" s="470">
        <v>1230</v>
      </c>
      <c r="T31" s="335">
        <v>1.1200000000000001</v>
      </c>
      <c r="U31" s="481">
        <v>285</v>
      </c>
      <c r="V31" s="482">
        <f t="shared" si="2"/>
        <v>392616.00000000006</v>
      </c>
      <c r="W31" s="640"/>
      <c r="X31" s="692"/>
      <c r="Y31" s="694"/>
      <c r="Z31" s="694"/>
      <c r="AA31" s="692"/>
      <c r="AB31" s="692"/>
      <c r="AC31" s="388">
        <v>99</v>
      </c>
      <c r="AD31" s="469">
        <v>41</v>
      </c>
    </row>
    <row r="32" spans="1:30">
      <c r="A32" s="413">
        <v>192</v>
      </c>
      <c r="B32" s="410" t="s">
        <v>25</v>
      </c>
      <c r="C32" s="412">
        <v>0</v>
      </c>
      <c r="D32" s="335">
        <v>1.25</v>
      </c>
      <c r="E32" s="409">
        <v>285</v>
      </c>
      <c r="F32" s="107">
        <f t="shared" si="1"/>
        <v>0</v>
      </c>
      <c r="G32" s="411">
        <v>255</v>
      </c>
      <c r="H32" s="408">
        <v>550</v>
      </c>
      <c r="I32" s="409">
        <v>700</v>
      </c>
      <c r="J32" s="409">
        <f>G32/H32*SUM(C32:C32)*I32</f>
        <v>0</v>
      </c>
      <c r="K32" s="408">
        <f>J32+SUM(F32:F32)</f>
        <v>0</v>
      </c>
      <c r="L32" s="408" t="e">
        <f>K32/SUM(C32:C32)</f>
        <v>#DIV/0!</v>
      </c>
      <c r="M32" s="388">
        <v>0</v>
      </c>
      <c r="N32" s="411">
        <f t="shared" si="4"/>
        <v>0</v>
      </c>
      <c r="O32" s="412"/>
      <c r="P32">
        <f t="shared" si="0"/>
        <v>0</v>
      </c>
      <c r="Q32" s="471">
        <v>192</v>
      </c>
      <c r="R32" s="468" t="s">
        <v>25</v>
      </c>
      <c r="S32" s="470">
        <v>0</v>
      </c>
      <c r="T32" s="335">
        <v>1.25</v>
      </c>
      <c r="U32" s="481">
        <v>285</v>
      </c>
      <c r="V32" s="482">
        <f t="shared" si="2"/>
        <v>0</v>
      </c>
      <c r="W32" s="469">
        <v>0</v>
      </c>
      <c r="X32" s="482">
        <v>550</v>
      </c>
      <c r="Y32" s="481">
        <v>700</v>
      </c>
      <c r="Z32" s="481">
        <f>W32/X32*SUM(S32:S32)*Y32</f>
        <v>0</v>
      </c>
      <c r="AA32" s="482">
        <f>Z32+SUM(V32:V32)</f>
        <v>0</v>
      </c>
      <c r="AB32" s="482" t="e">
        <f>AA32/SUM(S32:S32)</f>
        <v>#DIV/0!</v>
      </c>
      <c r="AC32" s="388">
        <v>0</v>
      </c>
      <c r="AD32" s="469">
        <v>0</v>
      </c>
    </row>
    <row r="33" spans="1:30">
      <c r="A33" s="403" t="s">
        <v>4</v>
      </c>
      <c r="B33" s="403"/>
      <c r="C33" s="405"/>
      <c r="D33" s="403"/>
      <c r="E33" s="403"/>
      <c r="F33" s="402">
        <f>SUM(F3:F31)</f>
        <v>9596839.2000000011</v>
      </c>
      <c r="G33" s="403">
        <f>SUM(G3:G32)</f>
        <v>11032</v>
      </c>
      <c r="H33" s="403">
        <f>SUM(H3:H32)</f>
        <v>74071</v>
      </c>
      <c r="I33" s="403"/>
      <c r="J33" s="403">
        <f>SUM(J3:J31)</f>
        <v>4241840.9984118566</v>
      </c>
      <c r="K33" s="402">
        <f>SUM(K3:K31)</f>
        <v>13838680.198411856</v>
      </c>
      <c r="L33" s="403"/>
      <c r="M33" s="388">
        <f>SUM(M3:M32)</f>
        <v>771</v>
      </c>
      <c r="N33" s="403">
        <f>SUM(N3:N32)</f>
        <v>450</v>
      </c>
      <c r="O33" s="412"/>
      <c r="P33">
        <f t="shared" si="0"/>
        <v>0</v>
      </c>
      <c r="Q33" s="481" t="s">
        <v>4</v>
      </c>
      <c r="R33" s="481"/>
      <c r="S33" s="470"/>
      <c r="T33" s="481"/>
      <c r="U33" s="481"/>
      <c r="V33" s="482">
        <f>SUM(V3:V32)</f>
        <v>4355769</v>
      </c>
      <c r="W33" s="481">
        <f>SUM(W3:W32)</f>
        <v>10822</v>
      </c>
      <c r="X33" s="481">
        <f>SUM(X3:X32)</f>
        <v>74071</v>
      </c>
      <c r="Y33" s="481"/>
      <c r="Z33" s="481">
        <f>SUM(Z3:Z31)</f>
        <v>3037080.649434376</v>
      </c>
      <c r="AA33" s="482">
        <f>SUM(AA3:AA31)</f>
        <v>7392849.6494343756</v>
      </c>
      <c r="AB33" s="481"/>
      <c r="AC33" s="388">
        <f>SUM(AC3:AC32)</f>
        <v>771</v>
      </c>
      <c r="AD33" s="469">
        <f>SUM(AD3:AD32)</f>
        <v>321</v>
      </c>
    </row>
    <row r="34" spans="1:30">
      <c r="A34" s="1"/>
      <c r="B34" s="1"/>
      <c r="C34" s="416">
        <f>SUM(C3:C33)</f>
        <v>63713</v>
      </c>
      <c r="D34" s="1"/>
      <c r="E34" s="1"/>
      <c r="F34" s="558" t="s">
        <v>233</v>
      </c>
      <c r="G34" s="558"/>
      <c r="H34" s="27">
        <f>K34+K33</f>
        <v>13977067.000395974</v>
      </c>
      <c r="I34" s="558" t="s">
        <v>232</v>
      </c>
      <c r="J34" s="558"/>
      <c r="K34" s="2">
        <f>K33*1%</f>
        <v>138386.80198411856</v>
      </c>
      <c r="L34" s="1"/>
      <c r="M34" s="1"/>
      <c r="N34" s="404"/>
      <c r="O34" s="416">
        <f>SUM(O3:O33)</f>
        <v>73701</v>
      </c>
      <c r="P34">
        <f t="shared" si="0"/>
        <v>0</v>
      </c>
      <c r="Q34" s="11"/>
      <c r="R34" s="11"/>
      <c r="S34" s="416">
        <f>SUM(S3:S33)</f>
        <v>9988</v>
      </c>
      <c r="T34" s="11"/>
      <c r="U34" s="11"/>
      <c r="V34" s="693" t="s">
        <v>233</v>
      </c>
      <c r="W34" s="693"/>
      <c r="X34" s="12">
        <f>AA34+AA33</f>
        <v>7466778.1459287191</v>
      </c>
      <c r="Y34" s="693" t="s">
        <v>232</v>
      </c>
      <c r="Z34" s="693"/>
      <c r="AA34" s="10">
        <f>AA33*1%</f>
        <v>73928.496494343752</v>
      </c>
      <c r="AB34" s="11"/>
      <c r="AC34" s="11"/>
      <c r="AD34" s="469"/>
    </row>
    <row r="36" spans="1:30">
      <c r="O36">
        <f>O34-P36</f>
        <v>0</v>
      </c>
      <c r="P36">
        <f>S34+C34</f>
        <v>73701</v>
      </c>
    </row>
    <row r="37" spans="1:30">
      <c r="N37" s="652" t="s">
        <v>286</v>
      </c>
      <c r="O37" s="652"/>
      <c r="P37" s="652"/>
      <c r="Q37" s="652"/>
      <c r="R37" s="652"/>
    </row>
    <row r="38" spans="1:30">
      <c r="N38" s="652"/>
      <c r="O38" s="652"/>
      <c r="P38" s="652"/>
      <c r="Q38" s="652"/>
      <c r="R38" s="652"/>
    </row>
    <row r="39" spans="1:30" ht="42">
      <c r="N39" s="100" t="s">
        <v>0</v>
      </c>
      <c r="O39" s="100" t="s">
        <v>140</v>
      </c>
      <c r="P39" s="312" t="s">
        <v>125</v>
      </c>
      <c r="Q39" s="123" t="s">
        <v>251</v>
      </c>
      <c r="R39" s="123" t="s">
        <v>250</v>
      </c>
    </row>
    <row r="40" spans="1:30" ht="15.75">
      <c r="N40" s="682" t="s">
        <v>351</v>
      </c>
      <c r="O40" s="412" t="s">
        <v>101</v>
      </c>
      <c r="P40" s="388">
        <v>35</v>
      </c>
      <c r="Q40" s="105">
        <f>P40-R40</f>
        <v>18</v>
      </c>
      <c r="R40" s="411">
        <v>17</v>
      </c>
    </row>
    <row r="41" spans="1:30" ht="15.75">
      <c r="N41" s="683"/>
      <c r="O41" s="412" t="s">
        <v>244</v>
      </c>
      <c r="P41" s="388">
        <v>30</v>
      </c>
      <c r="Q41" s="105">
        <f t="shared" ref="Q41:Q69" si="5">P41-R41</f>
        <v>15</v>
      </c>
      <c r="R41" s="411">
        <v>15</v>
      </c>
    </row>
    <row r="42" spans="1:30" ht="15.75">
      <c r="N42" s="683"/>
      <c r="O42" s="412" t="s">
        <v>327</v>
      </c>
      <c r="P42" s="388">
        <v>20</v>
      </c>
      <c r="Q42" s="105">
        <f t="shared" si="5"/>
        <v>10</v>
      </c>
      <c r="R42" s="411">
        <v>10</v>
      </c>
    </row>
    <row r="43" spans="1:30" ht="15.75">
      <c r="N43" s="684"/>
      <c r="O43" s="412" t="s">
        <v>150</v>
      </c>
      <c r="P43" s="388">
        <v>36</v>
      </c>
      <c r="Q43" s="105">
        <f t="shared" si="5"/>
        <v>20</v>
      </c>
      <c r="R43" s="411">
        <v>16</v>
      </c>
    </row>
    <row r="44" spans="1:30" ht="15" customHeight="1">
      <c r="N44" s="685" t="s">
        <v>287</v>
      </c>
      <c r="O44" s="414" t="s">
        <v>110</v>
      </c>
      <c r="P44" s="388">
        <v>36</v>
      </c>
      <c r="Q44" s="105">
        <f t="shared" si="5"/>
        <v>19</v>
      </c>
      <c r="R44" s="411">
        <v>17</v>
      </c>
    </row>
    <row r="45" spans="1:30" ht="15.75">
      <c r="N45" s="686"/>
      <c r="O45" s="414" t="s">
        <v>100</v>
      </c>
      <c r="P45" s="388">
        <v>38</v>
      </c>
      <c r="Q45" s="105">
        <f t="shared" si="5"/>
        <v>21</v>
      </c>
      <c r="R45" s="411">
        <v>17</v>
      </c>
    </row>
    <row r="46" spans="1:30" ht="15.75">
      <c r="N46" s="686"/>
      <c r="O46" s="414" t="s">
        <v>98</v>
      </c>
      <c r="P46" s="388">
        <v>44</v>
      </c>
      <c r="Q46" s="105">
        <f t="shared" si="5"/>
        <v>25</v>
      </c>
      <c r="R46" s="411">
        <v>19</v>
      </c>
    </row>
    <row r="47" spans="1:30" ht="15.75">
      <c r="N47" s="686"/>
      <c r="O47" s="414" t="s">
        <v>150</v>
      </c>
      <c r="P47" s="388">
        <v>38</v>
      </c>
      <c r="Q47" s="105">
        <f t="shared" si="5"/>
        <v>21</v>
      </c>
      <c r="R47" s="411">
        <v>17</v>
      </c>
    </row>
    <row r="48" spans="1:30" ht="15.75">
      <c r="N48" s="686"/>
      <c r="O48" s="414" t="s">
        <v>102</v>
      </c>
      <c r="P48" s="388">
        <v>26</v>
      </c>
      <c r="Q48" s="105">
        <f t="shared" si="5"/>
        <v>14</v>
      </c>
      <c r="R48" s="411">
        <v>12</v>
      </c>
    </row>
    <row r="49" spans="14:18" ht="15.75">
      <c r="N49" s="686"/>
      <c r="O49" s="414" t="s">
        <v>244</v>
      </c>
      <c r="P49" s="388">
        <v>25</v>
      </c>
      <c r="Q49" s="105">
        <f t="shared" si="5"/>
        <v>13</v>
      </c>
      <c r="R49" s="411">
        <v>12</v>
      </c>
    </row>
    <row r="50" spans="14:18" ht="15.75">
      <c r="N50" s="686"/>
      <c r="O50" s="414" t="s">
        <v>327</v>
      </c>
      <c r="P50" s="388">
        <v>25</v>
      </c>
      <c r="Q50" s="105">
        <f t="shared" si="5"/>
        <v>13</v>
      </c>
      <c r="R50" s="411">
        <v>12</v>
      </c>
    </row>
    <row r="51" spans="14:18" ht="15.75">
      <c r="N51" s="687"/>
      <c r="O51" s="414" t="s">
        <v>101</v>
      </c>
      <c r="P51" s="388">
        <v>32</v>
      </c>
      <c r="Q51" s="105">
        <f t="shared" si="5"/>
        <v>18</v>
      </c>
      <c r="R51" s="411">
        <v>14</v>
      </c>
    </row>
    <row r="52" spans="14:18" ht="15" customHeight="1">
      <c r="N52" s="685" t="s">
        <v>352</v>
      </c>
      <c r="O52" s="414" t="s">
        <v>353</v>
      </c>
      <c r="P52" s="388">
        <v>16</v>
      </c>
      <c r="Q52" s="105">
        <f t="shared" si="5"/>
        <v>16</v>
      </c>
      <c r="R52" s="411">
        <v>0</v>
      </c>
    </row>
    <row r="53" spans="14:18" ht="15.75">
      <c r="N53" s="686"/>
      <c r="O53" s="414" t="s">
        <v>354</v>
      </c>
      <c r="P53" s="388">
        <v>4</v>
      </c>
      <c r="Q53" s="105">
        <f t="shared" si="5"/>
        <v>4</v>
      </c>
      <c r="R53" s="411">
        <v>0</v>
      </c>
    </row>
    <row r="54" spans="14:18" ht="15.75">
      <c r="N54" s="686"/>
      <c r="O54" s="414" t="s">
        <v>355</v>
      </c>
      <c r="P54" s="388">
        <v>2</v>
      </c>
      <c r="Q54" s="105">
        <f t="shared" si="5"/>
        <v>2</v>
      </c>
      <c r="R54" s="411">
        <v>0</v>
      </c>
    </row>
    <row r="55" spans="14:18" ht="15.75">
      <c r="N55" s="686"/>
      <c r="O55" s="412" t="s">
        <v>356</v>
      </c>
      <c r="P55" s="388">
        <v>12</v>
      </c>
      <c r="Q55" s="105">
        <f t="shared" si="5"/>
        <v>12</v>
      </c>
      <c r="R55" s="411">
        <v>0</v>
      </c>
    </row>
    <row r="56" spans="14:18" ht="15.75">
      <c r="N56" s="686"/>
      <c r="O56" s="412" t="s">
        <v>357</v>
      </c>
      <c r="P56" s="388">
        <v>4</v>
      </c>
      <c r="Q56" s="105">
        <f t="shared" si="5"/>
        <v>4</v>
      </c>
      <c r="R56" s="411">
        <v>0</v>
      </c>
    </row>
    <row r="57" spans="14:18" ht="15.75">
      <c r="N57" s="686"/>
      <c r="O57" s="412" t="s">
        <v>358</v>
      </c>
      <c r="P57" s="388">
        <v>2</v>
      </c>
      <c r="Q57" s="105">
        <f t="shared" si="5"/>
        <v>2</v>
      </c>
      <c r="R57" s="411">
        <v>0</v>
      </c>
    </row>
    <row r="58" spans="14:18" ht="15.75">
      <c r="N58" s="686"/>
      <c r="O58" s="412" t="s">
        <v>358</v>
      </c>
      <c r="P58" s="388">
        <v>1</v>
      </c>
      <c r="Q58" s="105">
        <f t="shared" si="5"/>
        <v>1</v>
      </c>
      <c r="R58" s="411">
        <v>0</v>
      </c>
    </row>
    <row r="59" spans="14:18" ht="15.75">
      <c r="N59" s="686"/>
      <c r="O59" s="412" t="s">
        <v>353</v>
      </c>
      <c r="P59" s="388">
        <v>0</v>
      </c>
      <c r="Q59" s="105">
        <f t="shared" si="5"/>
        <v>0</v>
      </c>
      <c r="R59" s="411">
        <v>0</v>
      </c>
    </row>
    <row r="60" spans="14:18" ht="15.75">
      <c r="N60" s="686"/>
      <c r="O60" s="412" t="s">
        <v>354</v>
      </c>
      <c r="P60" s="388">
        <v>0</v>
      </c>
      <c r="Q60" s="105">
        <f t="shared" si="5"/>
        <v>0</v>
      </c>
      <c r="R60" s="411">
        <v>0</v>
      </c>
    </row>
    <row r="61" spans="14:18" ht="15.75">
      <c r="N61" s="686"/>
      <c r="O61" s="412" t="s">
        <v>357</v>
      </c>
      <c r="P61" s="388">
        <v>1</v>
      </c>
      <c r="Q61" s="105">
        <f t="shared" si="5"/>
        <v>1</v>
      </c>
      <c r="R61" s="411">
        <v>0</v>
      </c>
    </row>
    <row r="62" spans="14:18" ht="15.75">
      <c r="N62" s="686"/>
      <c r="O62" s="412" t="s">
        <v>355</v>
      </c>
      <c r="P62" s="388">
        <v>0</v>
      </c>
      <c r="Q62" s="105">
        <f t="shared" si="5"/>
        <v>0</v>
      </c>
      <c r="R62" s="411">
        <v>0</v>
      </c>
    </row>
    <row r="63" spans="14:18" ht="15.75">
      <c r="N63" s="687"/>
      <c r="O63" s="412" t="s">
        <v>356</v>
      </c>
      <c r="P63" s="388">
        <v>1</v>
      </c>
      <c r="Q63" s="105">
        <f t="shared" si="5"/>
        <v>1</v>
      </c>
      <c r="R63" s="411">
        <v>0</v>
      </c>
    </row>
    <row r="64" spans="14:18" ht="15" customHeight="1">
      <c r="N64" s="682" t="s">
        <v>238</v>
      </c>
      <c r="O64" s="412" t="s">
        <v>101</v>
      </c>
      <c r="P64" s="388">
        <v>41</v>
      </c>
      <c r="Q64" s="105">
        <f t="shared" si="5"/>
        <v>12</v>
      </c>
      <c r="R64" s="411">
        <v>29</v>
      </c>
    </row>
    <row r="65" spans="14:18" ht="15.75">
      <c r="N65" s="683"/>
      <c r="O65" s="412" t="s">
        <v>359</v>
      </c>
      <c r="P65" s="388">
        <v>72</v>
      </c>
      <c r="Q65" s="105">
        <f t="shared" si="5"/>
        <v>42</v>
      </c>
      <c r="R65" s="411">
        <v>30</v>
      </c>
    </row>
    <row r="66" spans="14:18" ht="15.75">
      <c r="N66" s="683"/>
      <c r="O66" s="412" t="s">
        <v>102</v>
      </c>
      <c r="P66" s="388">
        <v>58</v>
      </c>
      <c r="Q66" s="105">
        <f t="shared" si="5"/>
        <v>34</v>
      </c>
      <c r="R66" s="411">
        <v>24</v>
      </c>
    </row>
    <row r="67" spans="14:18" ht="15.75">
      <c r="N67" s="683"/>
      <c r="O67" s="412" t="s">
        <v>95</v>
      </c>
      <c r="P67" s="388">
        <v>69</v>
      </c>
      <c r="Q67" s="105">
        <f t="shared" si="5"/>
        <v>40</v>
      </c>
      <c r="R67" s="411">
        <v>29</v>
      </c>
    </row>
    <row r="68" spans="14:18" ht="15.75">
      <c r="N68" s="684"/>
      <c r="O68" s="412" t="s">
        <v>245</v>
      </c>
      <c r="P68" s="388">
        <v>99</v>
      </c>
      <c r="Q68" s="105">
        <f t="shared" si="5"/>
        <v>58</v>
      </c>
      <c r="R68" s="411">
        <v>41</v>
      </c>
    </row>
    <row r="69" spans="14:18" ht="15.75">
      <c r="N69" s="413">
        <v>192</v>
      </c>
      <c r="O69" s="410" t="s">
        <v>25</v>
      </c>
      <c r="P69" s="388">
        <v>11</v>
      </c>
      <c r="Q69" s="105">
        <f t="shared" si="5"/>
        <v>6</v>
      </c>
      <c r="R69" s="411">
        <v>5</v>
      </c>
    </row>
    <row r="70" spans="14:18">
      <c r="N70" s="409" t="s">
        <v>4</v>
      </c>
      <c r="O70" s="409"/>
      <c r="P70" s="388">
        <f>SUM(P40:P69)</f>
        <v>778</v>
      </c>
      <c r="Q70" s="411">
        <f>SUM(Q40:Q69)</f>
        <v>442</v>
      </c>
      <c r="R70" s="411">
        <f>SUM(R40:R69)</f>
        <v>336</v>
      </c>
    </row>
    <row r="71" spans="14:18">
      <c r="P71" s="388"/>
      <c r="Q71" s="409"/>
    </row>
  </sheetData>
  <mergeCells count="67">
    <mergeCell ref="K27:K31"/>
    <mergeCell ref="L27:L31"/>
    <mergeCell ref="A27:A31"/>
    <mergeCell ref="A15:A26"/>
    <mergeCell ref="L3:L6"/>
    <mergeCell ref="L7:L14"/>
    <mergeCell ref="H7:H14"/>
    <mergeCell ref="G7:G14"/>
    <mergeCell ref="G15:G26"/>
    <mergeCell ref="H15:H26"/>
    <mergeCell ref="I15:I26"/>
    <mergeCell ref="J15:J26"/>
    <mergeCell ref="K15:K26"/>
    <mergeCell ref="L15:L26"/>
    <mergeCell ref="F34:G34"/>
    <mergeCell ref="I34:J34"/>
    <mergeCell ref="A3:A6"/>
    <mergeCell ref="A7:A14"/>
    <mergeCell ref="G3:G6"/>
    <mergeCell ref="H3:H6"/>
    <mergeCell ref="I3:I6"/>
    <mergeCell ref="J3:J6"/>
    <mergeCell ref="J7:J14"/>
    <mergeCell ref="I7:I14"/>
    <mergeCell ref="G27:G31"/>
    <mergeCell ref="H27:H31"/>
    <mergeCell ref="I27:I31"/>
    <mergeCell ref="J27:J31"/>
    <mergeCell ref="A1:N1"/>
    <mergeCell ref="K3:K6"/>
    <mergeCell ref="K7:K14"/>
    <mergeCell ref="Q1:AD1"/>
    <mergeCell ref="Q3:Q6"/>
    <mergeCell ref="W3:W6"/>
    <mergeCell ref="X3:X6"/>
    <mergeCell ref="Y3:Y6"/>
    <mergeCell ref="Z3:Z6"/>
    <mergeCell ref="AA3:AA6"/>
    <mergeCell ref="AB3:AB6"/>
    <mergeCell ref="Q7:Q14"/>
    <mergeCell ref="W7:W14"/>
    <mergeCell ref="X7:X14"/>
    <mergeCell ref="Y7:Y14"/>
    <mergeCell ref="Z7:Z14"/>
    <mergeCell ref="AA7:AA14"/>
    <mergeCell ref="AB7:AB14"/>
    <mergeCell ref="Q15:Q26"/>
    <mergeCell ref="W15:W26"/>
    <mergeCell ref="X15:X26"/>
    <mergeCell ref="Y15:Y26"/>
    <mergeCell ref="Z15:Z26"/>
    <mergeCell ref="AA15:AA26"/>
    <mergeCell ref="AB15:AB26"/>
    <mergeCell ref="AB27:AB31"/>
    <mergeCell ref="V34:W34"/>
    <mergeCell ref="Y34:Z34"/>
    <mergeCell ref="N40:N43"/>
    <mergeCell ref="Q27:Q31"/>
    <mergeCell ref="W27:W31"/>
    <mergeCell ref="X27:X31"/>
    <mergeCell ref="Y27:Y31"/>
    <mergeCell ref="Z27:Z31"/>
    <mergeCell ref="N44:N51"/>
    <mergeCell ref="N52:N63"/>
    <mergeCell ref="N64:N68"/>
    <mergeCell ref="N37:R38"/>
    <mergeCell ref="AA27:AA31"/>
  </mergeCells>
  <pageMargins left="0.25" right="0.14000000000000001" top="0.38" bottom="0.2" header="0.3" footer="0.14000000000000001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opLeftCell="L30" workbookViewId="0">
      <selection activeCell="AD49" sqref="AD49"/>
    </sheetView>
  </sheetViews>
  <sheetFormatPr defaultRowHeight="15"/>
  <cols>
    <col min="1" max="1" width="14.42578125" customWidth="1"/>
    <col min="2" max="2" width="12.5703125" customWidth="1"/>
    <col min="13" max="13" width="10.5703125" customWidth="1"/>
    <col min="14" max="14" width="9.140625" customWidth="1"/>
  </cols>
  <sheetData>
    <row r="1" spans="1:30" ht="31.5">
      <c r="A1" s="580" t="s">
        <v>336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581"/>
      <c r="M1" s="103" t="s">
        <v>374</v>
      </c>
      <c r="N1" s="446">
        <v>45406</v>
      </c>
      <c r="Q1" s="580" t="s">
        <v>350</v>
      </c>
      <c r="R1" s="581"/>
      <c r="S1" s="581"/>
      <c r="T1" s="581"/>
      <c r="U1" s="581"/>
      <c r="V1" s="581"/>
      <c r="W1" s="581"/>
      <c r="X1" s="581"/>
      <c r="Y1" s="581"/>
      <c r="Z1" s="581"/>
      <c r="AA1" s="581"/>
      <c r="AB1" s="581"/>
      <c r="AC1" s="431" t="s">
        <v>374</v>
      </c>
      <c r="AD1" s="438">
        <v>45406</v>
      </c>
    </row>
    <row r="2" spans="1:30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125</v>
      </c>
      <c r="N2" s="105" t="s">
        <v>360</v>
      </c>
      <c r="Q2" s="100" t="s">
        <v>0</v>
      </c>
      <c r="R2" s="100" t="s">
        <v>140</v>
      </c>
      <c r="S2" s="101" t="s">
        <v>130</v>
      </c>
      <c r="T2" s="101" t="s">
        <v>2</v>
      </c>
      <c r="U2" s="101" t="s">
        <v>3</v>
      </c>
      <c r="V2" s="102" t="s">
        <v>4</v>
      </c>
      <c r="W2" s="103" t="s">
        <v>5</v>
      </c>
      <c r="X2" s="103" t="s">
        <v>6</v>
      </c>
      <c r="Y2" s="103" t="s">
        <v>7</v>
      </c>
      <c r="Z2" s="101" t="s">
        <v>8</v>
      </c>
      <c r="AA2" s="104" t="s">
        <v>9</v>
      </c>
      <c r="AB2" s="103" t="s">
        <v>10</v>
      </c>
      <c r="AC2" s="105" t="s">
        <v>125</v>
      </c>
      <c r="AD2" s="105" t="s">
        <v>360</v>
      </c>
    </row>
    <row r="3" spans="1:30" ht="15" customHeight="1">
      <c r="A3" s="422">
        <v>192</v>
      </c>
      <c r="B3" s="421" t="s">
        <v>331</v>
      </c>
      <c r="C3" s="421">
        <f>O3-S3</f>
        <v>250</v>
      </c>
      <c r="D3" s="195">
        <v>1.25</v>
      </c>
      <c r="E3" s="420">
        <v>281</v>
      </c>
      <c r="F3" s="107">
        <f>C3*D3*E3</f>
        <v>87812.5</v>
      </c>
      <c r="G3" s="422">
        <v>255</v>
      </c>
      <c r="H3" s="421">
        <v>550</v>
      </c>
      <c r="I3" s="420">
        <v>680</v>
      </c>
      <c r="J3" s="420">
        <f>G3/H3*SUM(C3:C3)*I3</f>
        <v>78818.181818181823</v>
      </c>
      <c r="K3" s="419">
        <f>J3+SUM(F3:F3)</f>
        <v>166630.68181818182</v>
      </c>
      <c r="L3" s="419">
        <f>K3/SUM(C3:C3)</f>
        <v>666.52272727272725</v>
      </c>
      <c r="M3" s="255">
        <v>11</v>
      </c>
      <c r="N3" s="422">
        <v>5</v>
      </c>
      <c r="O3" s="441">
        <v>550</v>
      </c>
      <c r="Q3" s="426">
        <v>192</v>
      </c>
      <c r="R3" s="425" t="s">
        <v>331</v>
      </c>
      <c r="S3" s="425">
        <v>300</v>
      </c>
      <c r="T3" s="195">
        <v>1.25</v>
      </c>
      <c r="U3" s="424">
        <v>281</v>
      </c>
      <c r="V3" s="107">
        <f>S3*T3*U3</f>
        <v>105375</v>
      </c>
      <c r="W3" s="426">
        <v>255</v>
      </c>
      <c r="X3" s="425">
        <v>550</v>
      </c>
      <c r="Y3" s="424">
        <v>680</v>
      </c>
      <c r="Z3" s="424">
        <f>W3/X3*SUM(S3:S3)*Y3</f>
        <v>94581.818181818177</v>
      </c>
      <c r="AA3" s="423">
        <f>Z3+SUM(V3:V3)</f>
        <v>199956.81818181818</v>
      </c>
      <c r="AB3" s="423">
        <f>AA3/SUM(S3:S3)</f>
        <v>666.52272727272725</v>
      </c>
      <c r="AC3" s="255">
        <v>11</v>
      </c>
      <c r="AD3" s="255">
        <v>6</v>
      </c>
    </row>
    <row r="4" spans="1:30">
      <c r="A4" s="421" t="s">
        <v>240</v>
      </c>
      <c r="B4" s="421" t="s">
        <v>101</v>
      </c>
      <c r="C4" s="441">
        <f t="shared" ref="C4:C46" si="0">O4-S4</f>
        <v>900</v>
      </c>
      <c r="D4" s="195">
        <v>1.08</v>
      </c>
      <c r="E4" s="420">
        <v>281</v>
      </c>
      <c r="F4" s="107">
        <f t="shared" ref="F4:F46" si="1">C4*D4*E4</f>
        <v>273132.00000000006</v>
      </c>
      <c r="G4" s="422">
        <v>1400</v>
      </c>
      <c r="H4" s="421">
        <v>3000</v>
      </c>
      <c r="I4" s="420">
        <v>680</v>
      </c>
      <c r="J4" s="420">
        <f>G4/H4*SUM(C4:C4)*I4</f>
        <v>285600</v>
      </c>
      <c r="K4" s="419">
        <f>J4+SUM(F4:F4)</f>
        <v>558732</v>
      </c>
      <c r="L4" s="419">
        <f>K4/SUM(C4:C4)</f>
        <v>620.81333333333339</v>
      </c>
      <c r="M4" s="255">
        <v>100</v>
      </c>
      <c r="N4" s="422">
        <v>30</v>
      </c>
      <c r="O4" s="441">
        <v>3000</v>
      </c>
      <c r="Q4" s="425" t="s">
        <v>240</v>
      </c>
      <c r="R4" s="425" t="s">
        <v>101</v>
      </c>
      <c r="S4" s="425">
        <f>70*30</f>
        <v>2100</v>
      </c>
      <c r="T4" s="195">
        <v>1.08</v>
      </c>
      <c r="U4" s="424">
        <v>281</v>
      </c>
      <c r="V4" s="107">
        <f t="shared" ref="V4:V46" si="2">S4*T4*U4</f>
        <v>637308</v>
      </c>
      <c r="W4" s="426">
        <v>1400</v>
      </c>
      <c r="X4" s="425">
        <v>3000</v>
      </c>
      <c r="Y4" s="424">
        <v>680</v>
      </c>
      <c r="Z4" s="424">
        <f>W4/X4*SUM(S4:S4)*Y4</f>
        <v>666400</v>
      </c>
      <c r="AA4" s="423">
        <f>Z4+SUM(V4:V4)</f>
        <v>1303708</v>
      </c>
      <c r="AB4" s="423">
        <f>AA4/SUM(S4:S4)</f>
        <v>620.81333333333339</v>
      </c>
      <c r="AC4" s="255">
        <v>100</v>
      </c>
      <c r="AD4" s="255">
        <v>70</v>
      </c>
    </row>
    <row r="5" spans="1:30">
      <c r="A5" s="624" t="s">
        <v>268</v>
      </c>
      <c r="B5" s="421" t="s">
        <v>272</v>
      </c>
      <c r="C5" s="441">
        <f t="shared" si="0"/>
        <v>488</v>
      </c>
      <c r="D5" s="195">
        <v>1.68</v>
      </c>
      <c r="E5" s="420">
        <v>281</v>
      </c>
      <c r="F5" s="107">
        <f t="shared" si="1"/>
        <v>230375.03999999998</v>
      </c>
      <c r="G5" s="640">
        <v>1480</v>
      </c>
      <c r="H5" s="640">
        <v>2436</v>
      </c>
      <c r="I5" s="590">
        <v>680</v>
      </c>
      <c r="J5" s="590">
        <f>G5/H5*SUM(C5:C8)*I5</f>
        <v>484195.73070607556</v>
      </c>
      <c r="K5" s="582">
        <f>J5+SUM(F5:F8)</f>
        <v>1048432.4907060756</v>
      </c>
      <c r="L5" s="582">
        <f>K5/SUM(C5:C8)</f>
        <v>894.5669715922146</v>
      </c>
      <c r="M5" s="255">
        <v>33</v>
      </c>
      <c r="N5" s="422">
        <v>16</v>
      </c>
      <c r="O5" s="441">
        <v>998</v>
      </c>
      <c r="Q5" s="624" t="s">
        <v>268</v>
      </c>
      <c r="R5" s="425" t="s">
        <v>272</v>
      </c>
      <c r="S5" s="425">
        <f>17*30</f>
        <v>510</v>
      </c>
      <c r="T5" s="195">
        <v>1.68</v>
      </c>
      <c r="U5" s="424">
        <v>281</v>
      </c>
      <c r="V5" s="107">
        <f t="shared" si="2"/>
        <v>240760.8</v>
      </c>
      <c r="W5" s="640">
        <v>1480</v>
      </c>
      <c r="X5" s="640">
        <v>2436</v>
      </c>
      <c r="Y5" s="590">
        <v>680</v>
      </c>
      <c r="Z5" s="590">
        <f>W5/X5*SUM(S5:S8)*Y5</f>
        <v>522204.2692939245</v>
      </c>
      <c r="AA5" s="582">
        <f>Z5+SUM(V5:V8)</f>
        <v>1130827.7892939246</v>
      </c>
      <c r="AB5" s="582">
        <f>AA5/SUM(S5:S8)</f>
        <v>894.6422383654467</v>
      </c>
      <c r="AC5" s="255">
        <v>33</v>
      </c>
      <c r="AD5" s="255">
        <v>17</v>
      </c>
    </row>
    <row r="6" spans="1:30">
      <c r="A6" s="624"/>
      <c r="B6" s="421" t="s">
        <v>96</v>
      </c>
      <c r="C6" s="441">
        <f t="shared" si="0"/>
        <v>294</v>
      </c>
      <c r="D6" s="195">
        <v>1.68</v>
      </c>
      <c r="E6" s="420">
        <v>281</v>
      </c>
      <c r="F6" s="107">
        <f t="shared" si="1"/>
        <v>138791.51999999999</v>
      </c>
      <c r="G6" s="640"/>
      <c r="H6" s="640"/>
      <c r="I6" s="590"/>
      <c r="J6" s="590"/>
      <c r="K6" s="582"/>
      <c r="L6" s="582"/>
      <c r="M6" s="255">
        <v>21</v>
      </c>
      <c r="N6" s="422">
        <v>10</v>
      </c>
      <c r="O6" s="441">
        <v>624</v>
      </c>
      <c r="Q6" s="624"/>
      <c r="R6" s="425" t="s">
        <v>96</v>
      </c>
      <c r="S6" s="425">
        <v>330</v>
      </c>
      <c r="T6" s="195">
        <v>1.68</v>
      </c>
      <c r="U6" s="424">
        <v>281</v>
      </c>
      <c r="V6" s="107">
        <f t="shared" si="2"/>
        <v>155786.4</v>
      </c>
      <c r="W6" s="640"/>
      <c r="X6" s="640"/>
      <c r="Y6" s="590"/>
      <c r="Z6" s="590"/>
      <c r="AA6" s="582"/>
      <c r="AB6" s="582"/>
      <c r="AC6" s="255">
        <v>21</v>
      </c>
      <c r="AD6" s="255">
        <v>11</v>
      </c>
    </row>
    <row r="7" spans="1:30" ht="15" customHeight="1">
      <c r="A7" s="624"/>
      <c r="B7" s="421" t="s">
        <v>95</v>
      </c>
      <c r="C7" s="441">
        <f t="shared" si="0"/>
        <v>240</v>
      </c>
      <c r="D7" s="195">
        <v>1.78</v>
      </c>
      <c r="E7" s="420">
        <v>281</v>
      </c>
      <c r="F7" s="107">
        <f t="shared" si="1"/>
        <v>120043.2</v>
      </c>
      <c r="G7" s="640"/>
      <c r="H7" s="640"/>
      <c r="I7" s="590"/>
      <c r="J7" s="590"/>
      <c r="K7" s="582"/>
      <c r="L7" s="582"/>
      <c r="M7" s="255">
        <v>17</v>
      </c>
      <c r="N7" s="422">
        <v>8</v>
      </c>
      <c r="O7" s="441">
        <v>504</v>
      </c>
      <c r="Q7" s="624"/>
      <c r="R7" s="425" t="s">
        <v>95</v>
      </c>
      <c r="S7" s="425">
        <v>264</v>
      </c>
      <c r="T7" s="195">
        <v>1.78</v>
      </c>
      <c r="U7" s="424">
        <v>281</v>
      </c>
      <c r="V7" s="107">
        <f t="shared" si="2"/>
        <v>132047.52000000002</v>
      </c>
      <c r="W7" s="640"/>
      <c r="X7" s="640"/>
      <c r="Y7" s="590"/>
      <c r="Z7" s="590"/>
      <c r="AA7" s="582"/>
      <c r="AB7" s="582"/>
      <c r="AC7" s="255">
        <v>17</v>
      </c>
      <c r="AD7" s="255">
        <v>9</v>
      </c>
    </row>
    <row r="8" spans="1:30">
      <c r="A8" s="624"/>
      <c r="B8" s="421" t="s">
        <v>102</v>
      </c>
      <c r="C8" s="441">
        <f t="shared" si="0"/>
        <v>150</v>
      </c>
      <c r="D8" s="195">
        <v>1.78</v>
      </c>
      <c r="E8" s="420">
        <v>281</v>
      </c>
      <c r="F8" s="107">
        <f t="shared" si="1"/>
        <v>75027</v>
      </c>
      <c r="G8" s="640"/>
      <c r="H8" s="640"/>
      <c r="I8" s="590"/>
      <c r="J8" s="590"/>
      <c r="K8" s="582"/>
      <c r="L8" s="582"/>
      <c r="M8" s="255">
        <v>10</v>
      </c>
      <c r="N8" s="422">
        <v>5</v>
      </c>
      <c r="O8" s="441">
        <v>310</v>
      </c>
      <c r="Q8" s="624"/>
      <c r="R8" s="425" t="s">
        <v>102</v>
      </c>
      <c r="S8" s="425">
        <v>160</v>
      </c>
      <c r="T8" s="195">
        <v>1.78</v>
      </c>
      <c r="U8" s="424">
        <v>281</v>
      </c>
      <c r="V8" s="107">
        <f t="shared" si="2"/>
        <v>80028.800000000003</v>
      </c>
      <c r="W8" s="640"/>
      <c r="X8" s="640"/>
      <c r="Y8" s="590"/>
      <c r="Z8" s="590"/>
      <c r="AA8" s="582"/>
      <c r="AB8" s="582"/>
      <c r="AC8" s="255">
        <v>10</v>
      </c>
      <c r="AD8" s="255">
        <v>5</v>
      </c>
    </row>
    <row r="9" spans="1:30">
      <c r="A9" s="616" t="s">
        <v>361</v>
      </c>
      <c r="B9" s="421" t="s">
        <v>98</v>
      </c>
      <c r="C9" s="441">
        <f t="shared" si="0"/>
        <v>255</v>
      </c>
      <c r="D9" s="195">
        <v>2.65</v>
      </c>
      <c r="E9" s="420">
        <v>281</v>
      </c>
      <c r="F9" s="107">
        <f t="shared" si="1"/>
        <v>189885.75</v>
      </c>
      <c r="G9" s="640">
        <v>1148</v>
      </c>
      <c r="H9" s="640">
        <v>1529</v>
      </c>
      <c r="I9" s="590">
        <v>680</v>
      </c>
      <c r="J9" s="590">
        <f>G9/H9*SUM(C9:C12)*I9</f>
        <v>372195.26487900584</v>
      </c>
      <c r="K9" s="582">
        <f>J9+SUM(F9:F12)</f>
        <v>887619.51487900584</v>
      </c>
      <c r="L9" s="582">
        <f>K9/SUM(C9:C12)</f>
        <v>1217.5850684211327</v>
      </c>
      <c r="M9" s="255">
        <v>17</v>
      </c>
      <c r="N9" s="422">
        <v>8</v>
      </c>
      <c r="O9" s="441">
        <v>523</v>
      </c>
      <c r="Q9" s="616" t="s">
        <v>361</v>
      </c>
      <c r="R9" s="425" t="s">
        <v>98</v>
      </c>
      <c r="S9" s="425">
        <f>6*30+30+31+27</f>
        <v>268</v>
      </c>
      <c r="T9" s="195">
        <v>2.65</v>
      </c>
      <c r="U9" s="424">
        <v>281</v>
      </c>
      <c r="V9" s="107">
        <f t="shared" si="2"/>
        <v>199566.19999999998</v>
      </c>
      <c r="W9" s="640">
        <v>1148</v>
      </c>
      <c r="X9" s="640">
        <v>1529</v>
      </c>
      <c r="Y9" s="590">
        <v>680</v>
      </c>
      <c r="Z9" s="590">
        <f>W9/X9*SUM(S9:S12)*Y9</f>
        <v>408444.73512099404</v>
      </c>
      <c r="AA9" s="582">
        <f>Z9+SUM(V9:V12)</f>
        <v>973816.73512099404</v>
      </c>
      <c r="AB9" s="582">
        <f>AA9/SUM(S9:S12)</f>
        <v>1217.2709189012426</v>
      </c>
      <c r="AC9" s="255">
        <v>17</v>
      </c>
      <c r="AD9" s="255">
        <v>9</v>
      </c>
    </row>
    <row r="10" spans="1:30">
      <c r="A10" s="616"/>
      <c r="B10" s="421" t="s">
        <v>150</v>
      </c>
      <c r="C10" s="441">
        <f t="shared" si="0"/>
        <v>140</v>
      </c>
      <c r="D10" s="195">
        <v>2.65</v>
      </c>
      <c r="E10" s="420">
        <v>281</v>
      </c>
      <c r="F10" s="107">
        <f t="shared" si="1"/>
        <v>104251</v>
      </c>
      <c r="G10" s="640"/>
      <c r="H10" s="640"/>
      <c r="I10" s="590"/>
      <c r="J10" s="590"/>
      <c r="K10" s="582"/>
      <c r="L10" s="582"/>
      <c r="M10" s="255">
        <v>10</v>
      </c>
      <c r="N10" s="422">
        <v>5</v>
      </c>
      <c r="O10" s="441">
        <v>290</v>
      </c>
      <c r="Q10" s="616"/>
      <c r="R10" s="425" t="s">
        <v>150</v>
      </c>
      <c r="S10" s="425">
        <v>150</v>
      </c>
      <c r="T10" s="195">
        <v>2.65</v>
      </c>
      <c r="U10" s="424">
        <v>281</v>
      </c>
      <c r="V10" s="107">
        <f t="shared" si="2"/>
        <v>111697.5</v>
      </c>
      <c r="W10" s="640"/>
      <c r="X10" s="640"/>
      <c r="Y10" s="590"/>
      <c r="Z10" s="590"/>
      <c r="AA10" s="582"/>
      <c r="AB10" s="582"/>
      <c r="AC10" s="255">
        <v>10</v>
      </c>
      <c r="AD10" s="255">
        <v>5</v>
      </c>
    </row>
    <row r="11" spans="1:30">
      <c r="A11" s="616"/>
      <c r="B11" s="421" t="s">
        <v>96</v>
      </c>
      <c r="C11" s="441">
        <f t="shared" si="0"/>
        <v>244</v>
      </c>
      <c r="D11" s="195">
        <v>2.25</v>
      </c>
      <c r="E11" s="420">
        <v>281</v>
      </c>
      <c r="F11" s="107">
        <f t="shared" si="1"/>
        <v>154269</v>
      </c>
      <c r="G11" s="640"/>
      <c r="H11" s="640"/>
      <c r="I11" s="590"/>
      <c r="J11" s="590"/>
      <c r="K11" s="582"/>
      <c r="L11" s="582"/>
      <c r="M11" s="255">
        <v>17</v>
      </c>
      <c r="N11" s="422">
        <v>8</v>
      </c>
      <c r="O11" s="441">
        <v>514</v>
      </c>
      <c r="Q11" s="616"/>
      <c r="R11" s="425" t="s">
        <v>96</v>
      </c>
      <c r="S11" s="425">
        <v>270</v>
      </c>
      <c r="T11" s="195">
        <v>2.25</v>
      </c>
      <c r="U11" s="424">
        <v>281</v>
      </c>
      <c r="V11" s="107">
        <f t="shared" si="2"/>
        <v>170707.5</v>
      </c>
      <c r="W11" s="640"/>
      <c r="X11" s="640"/>
      <c r="Y11" s="590"/>
      <c r="Z11" s="590"/>
      <c r="AA11" s="582"/>
      <c r="AB11" s="582"/>
      <c r="AC11" s="255">
        <v>17</v>
      </c>
      <c r="AD11" s="255">
        <v>9</v>
      </c>
    </row>
    <row r="12" spans="1:30">
      <c r="A12" s="616"/>
      <c r="B12" s="421" t="s">
        <v>95</v>
      </c>
      <c r="C12" s="441">
        <f t="shared" si="0"/>
        <v>90</v>
      </c>
      <c r="D12" s="195">
        <v>2.65</v>
      </c>
      <c r="E12" s="420">
        <v>281</v>
      </c>
      <c r="F12" s="107">
        <f t="shared" si="1"/>
        <v>67018.5</v>
      </c>
      <c r="G12" s="640"/>
      <c r="H12" s="640"/>
      <c r="I12" s="590"/>
      <c r="J12" s="590"/>
      <c r="K12" s="582"/>
      <c r="L12" s="582"/>
      <c r="M12" s="255">
        <v>7</v>
      </c>
      <c r="N12" s="422">
        <v>3</v>
      </c>
      <c r="O12" s="441">
        <v>202</v>
      </c>
      <c r="Q12" s="616"/>
      <c r="R12" s="425" t="s">
        <v>95</v>
      </c>
      <c r="S12" s="425">
        <f>3*30+22</f>
        <v>112</v>
      </c>
      <c r="T12" s="195">
        <v>2.65</v>
      </c>
      <c r="U12" s="424">
        <v>281</v>
      </c>
      <c r="V12" s="107">
        <f t="shared" si="2"/>
        <v>83400.800000000003</v>
      </c>
      <c r="W12" s="640"/>
      <c r="X12" s="640"/>
      <c r="Y12" s="590"/>
      <c r="Z12" s="590"/>
      <c r="AA12" s="582"/>
      <c r="AB12" s="582"/>
      <c r="AC12" s="255">
        <v>7</v>
      </c>
      <c r="AD12" s="255">
        <v>4</v>
      </c>
    </row>
    <row r="13" spans="1:30">
      <c r="A13" s="616" t="s">
        <v>362</v>
      </c>
      <c r="B13" s="421" t="s">
        <v>98</v>
      </c>
      <c r="C13" s="441">
        <f t="shared" si="0"/>
        <v>239</v>
      </c>
      <c r="D13" s="195">
        <v>3</v>
      </c>
      <c r="E13" s="420">
        <v>281</v>
      </c>
      <c r="F13" s="107">
        <f t="shared" si="1"/>
        <v>201477</v>
      </c>
      <c r="G13" s="624">
        <v>851</v>
      </c>
      <c r="H13" s="590">
        <v>1054</v>
      </c>
      <c r="I13" s="590">
        <v>680</v>
      </c>
      <c r="J13" s="590">
        <f>G13/H13*SUM(C13:C15)*I13</f>
        <v>281104.51612903224</v>
      </c>
      <c r="K13" s="582">
        <f>J13+SUM(F13:F15)</f>
        <v>692263.7161290322</v>
      </c>
      <c r="L13" s="582">
        <f>K13/SUM(C13:C15)</f>
        <v>1352.077570564516</v>
      </c>
      <c r="M13" s="255">
        <v>17</v>
      </c>
      <c r="N13" s="422">
        <v>8</v>
      </c>
      <c r="O13" s="441">
        <v>509</v>
      </c>
      <c r="Q13" s="616" t="s">
        <v>362</v>
      </c>
      <c r="R13" s="425" t="s">
        <v>98</v>
      </c>
      <c r="S13" s="425">
        <v>270</v>
      </c>
      <c r="T13" s="195">
        <v>3</v>
      </c>
      <c r="U13" s="424">
        <v>281</v>
      </c>
      <c r="V13" s="107">
        <f t="shared" si="2"/>
        <v>227610</v>
      </c>
      <c r="W13" s="624">
        <v>851</v>
      </c>
      <c r="X13" s="590">
        <v>1054</v>
      </c>
      <c r="Y13" s="590">
        <v>680</v>
      </c>
      <c r="Z13" s="590">
        <f>W13/X13*SUM(S13:S15)*Y13</f>
        <v>297575.48387096776</v>
      </c>
      <c r="AA13" s="582">
        <f>Z13+SUM(V13:V15)</f>
        <v>733912.2838709678</v>
      </c>
      <c r="AB13" s="582">
        <f>AA13/SUM(S13:S15)</f>
        <v>1354.0817045589813</v>
      </c>
      <c r="AC13" s="255">
        <v>17</v>
      </c>
      <c r="AD13" s="255">
        <v>9</v>
      </c>
    </row>
    <row r="14" spans="1:30">
      <c r="A14" s="616"/>
      <c r="B14" s="421" t="s">
        <v>96</v>
      </c>
      <c r="C14" s="441">
        <f t="shared" si="0"/>
        <v>182</v>
      </c>
      <c r="D14" s="195">
        <v>2.6</v>
      </c>
      <c r="E14" s="420">
        <v>281</v>
      </c>
      <c r="F14" s="107">
        <f t="shared" si="1"/>
        <v>132969.19999999998</v>
      </c>
      <c r="G14" s="624"/>
      <c r="H14" s="590"/>
      <c r="I14" s="590"/>
      <c r="J14" s="590"/>
      <c r="K14" s="582"/>
      <c r="L14" s="582"/>
      <c r="M14" s="255">
        <v>12</v>
      </c>
      <c r="N14" s="422">
        <v>6</v>
      </c>
      <c r="O14" s="441">
        <v>365</v>
      </c>
      <c r="Q14" s="616"/>
      <c r="R14" s="425" t="s">
        <v>96</v>
      </c>
      <c r="S14" s="425">
        <v>183</v>
      </c>
      <c r="T14" s="195">
        <v>2.6</v>
      </c>
      <c r="U14" s="424">
        <v>281</v>
      </c>
      <c r="V14" s="107">
        <f t="shared" si="2"/>
        <v>133699.80000000002</v>
      </c>
      <c r="W14" s="624"/>
      <c r="X14" s="590"/>
      <c r="Y14" s="590"/>
      <c r="Z14" s="590"/>
      <c r="AA14" s="582"/>
      <c r="AB14" s="582"/>
      <c r="AC14" s="255">
        <v>12</v>
      </c>
      <c r="AD14" s="255">
        <v>6</v>
      </c>
    </row>
    <row r="15" spans="1:30" ht="15" customHeight="1">
      <c r="A15" s="616"/>
      <c r="B15" s="421" t="s">
        <v>95</v>
      </c>
      <c r="C15" s="441">
        <f t="shared" si="0"/>
        <v>91</v>
      </c>
      <c r="D15" s="195">
        <v>3</v>
      </c>
      <c r="E15" s="420">
        <v>281</v>
      </c>
      <c r="F15" s="107">
        <f t="shared" si="1"/>
        <v>76713</v>
      </c>
      <c r="G15" s="624"/>
      <c r="H15" s="590"/>
      <c r="I15" s="590"/>
      <c r="J15" s="590"/>
      <c r="K15" s="582"/>
      <c r="L15" s="582"/>
      <c r="M15" s="255">
        <v>6</v>
      </c>
      <c r="N15" s="422">
        <v>3</v>
      </c>
      <c r="O15" s="441">
        <v>180</v>
      </c>
      <c r="Q15" s="616"/>
      <c r="R15" s="425" t="s">
        <v>95</v>
      </c>
      <c r="S15" s="425">
        <v>89</v>
      </c>
      <c r="T15" s="195">
        <v>3</v>
      </c>
      <c r="U15" s="424">
        <v>281</v>
      </c>
      <c r="V15" s="107">
        <f t="shared" si="2"/>
        <v>75027</v>
      </c>
      <c r="W15" s="624"/>
      <c r="X15" s="590"/>
      <c r="Y15" s="590"/>
      <c r="Z15" s="590"/>
      <c r="AA15" s="582"/>
      <c r="AB15" s="582"/>
      <c r="AC15" s="255">
        <v>6</v>
      </c>
      <c r="AD15" s="255">
        <v>3</v>
      </c>
    </row>
    <row r="16" spans="1:30">
      <c r="A16" s="691" t="s">
        <v>363</v>
      </c>
      <c r="B16" s="422" t="s">
        <v>96</v>
      </c>
      <c r="C16" s="441">
        <f t="shared" si="0"/>
        <v>242</v>
      </c>
      <c r="D16" s="422">
        <v>2.58</v>
      </c>
      <c r="E16" s="420">
        <v>281</v>
      </c>
      <c r="F16" s="107">
        <f t="shared" si="1"/>
        <v>175445.16</v>
      </c>
      <c r="G16" s="624">
        <v>979</v>
      </c>
      <c r="H16" s="590">
        <v>1785</v>
      </c>
      <c r="I16" s="590">
        <v>680</v>
      </c>
      <c r="J16" s="590">
        <f>G16/H16*SUM(C16:C18)*I16</f>
        <v>325214.47619047621</v>
      </c>
      <c r="K16" s="582">
        <f>J16+SUM(F16:F18)</f>
        <v>957397.03619047627</v>
      </c>
      <c r="L16" s="582">
        <f>K16/SUM(C16:C18)</f>
        <v>1097.932380952381</v>
      </c>
      <c r="M16" s="255">
        <v>17</v>
      </c>
      <c r="N16" s="422">
        <v>8</v>
      </c>
      <c r="O16" s="442">
        <v>519</v>
      </c>
      <c r="Q16" s="691" t="s">
        <v>363</v>
      </c>
      <c r="R16" s="426" t="s">
        <v>96</v>
      </c>
      <c r="S16" s="426">
        <f>8*30+37</f>
        <v>277</v>
      </c>
      <c r="T16" s="426">
        <v>2.58</v>
      </c>
      <c r="U16" s="424">
        <v>281</v>
      </c>
      <c r="V16" s="107">
        <f t="shared" si="2"/>
        <v>200819.46</v>
      </c>
      <c r="W16" s="624">
        <v>979</v>
      </c>
      <c r="X16" s="590">
        <v>1785</v>
      </c>
      <c r="Y16" s="590">
        <v>680</v>
      </c>
      <c r="Z16" s="590">
        <f>W16/X16*SUM(S16:S18)*Y16</f>
        <v>340505.52380952385</v>
      </c>
      <c r="AA16" s="582">
        <f>Z16+SUM(V16:V18)</f>
        <v>1002412.2638095238</v>
      </c>
      <c r="AB16" s="582">
        <f>AA16/SUM(S16:S18)</f>
        <v>1097.932380952381</v>
      </c>
      <c r="AC16" s="255">
        <v>17</v>
      </c>
      <c r="AD16" s="255">
        <v>9</v>
      </c>
    </row>
    <row r="17" spans="1:30">
      <c r="A17" s="691"/>
      <c r="B17" s="422" t="s">
        <v>366</v>
      </c>
      <c r="C17" s="441">
        <f t="shared" si="0"/>
        <v>450</v>
      </c>
      <c r="D17" s="422">
        <v>2.58</v>
      </c>
      <c r="E17" s="420">
        <v>281</v>
      </c>
      <c r="F17" s="107">
        <f t="shared" si="1"/>
        <v>326241</v>
      </c>
      <c r="G17" s="624"/>
      <c r="H17" s="590"/>
      <c r="I17" s="590"/>
      <c r="J17" s="590"/>
      <c r="K17" s="582"/>
      <c r="L17" s="582"/>
      <c r="M17" s="255">
        <v>30</v>
      </c>
      <c r="N17" s="422">
        <v>15</v>
      </c>
      <c r="O17" s="442">
        <v>910</v>
      </c>
      <c r="Q17" s="691"/>
      <c r="R17" s="426" t="s">
        <v>366</v>
      </c>
      <c r="S17" s="426">
        <f>11*30+90+40</f>
        <v>460</v>
      </c>
      <c r="T17" s="426">
        <v>2.58</v>
      </c>
      <c r="U17" s="424">
        <v>281</v>
      </c>
      <c r="V17" s="107">
        <f t="shared" si="2"/>
        <v>333490.8</v>
      </c>
      <c r="W17" s="624"/>
      <c r="X17" s="590"/>
      <c r="Y17" s="590"/>
      <c r="Z17" s="590"/>
      <c r="AA17" s="582"/>
      <c r="AB17" s="582"/>
      <c r="AC17" s="255">
        <v>30</v>
      </c>
      <c r="AD17" s="255">
        <v>15</v>
      </c>
    </row>
    <row r="18" spans="1:30">
      <c r="A18" s="691"/>
      <c r="B18" s="422" t="s">
        <v>95</v>
      </c>
      <c r="C18" s="441">
        <f t="shared" si="0"/>
        <v>180</v>
      </c>
      <c r="D18" s="422">
        <v>2.58</v>
      </c>
      <c r="E18" s="420">
        <v>281</v>
      </c>
      <c r="F18" s="107">
        <f t="shared" si="1"/>
        <v>130496.40000000001</v>
      </c>
      <c r="G18" s="624"/>
      <c r="H18" s="590"/>
      <c r="I18" s="590"/>
      <c r="J18" s="590"/>
      <c r="K18" s="582"/>
      <c r="L18" s="582"/>
      <c r="M18" s="255">
        <v>12</v>
      </c>
      <c r="N18" s="422">
        <v>6</v>
      </c>
      <c r="O18" s="442">
        <v>356</v>
      </c>
      <c r="Q18" s="691"/>
      <c r="R18" s="426" t="s">
        <v>95</v>
      </c>
      <c r="S18" s="426">
        <v>176</v>
      </c>
      <c r="T18" s="426">
        <v>2.58</v>
      </c>
      <c r="U18" s="424">
        <v>281</v>
      </c>
      <c r="V18" s="107">
        <f t="shared" si="2"/>
        <v>127596.48000000001</v>
      </c>
      <c r="W18" s="624"/>
      <c r="X18" s="590"/>
      <c r="Y18" s="590"/>
      <c r="Z18" s="590"/>
      <c r="AA18" s="582"/>
      <c r="AB18" s="582"/>
      <c r="AC18" s="255">
        <v>12</v>
      </c>
      <c r="AD18" s="255">
        <v>6</v>
      </c>
    </row>
    <row r="19" spans="1:30">
      <c r="A19" s="691" t="s">
        <v>147</v>
      </c>
      <c r="B19" s="422" t="s">
        <v>96</v>
      </c>
      <c r="C19" s="441">
        <f t="shared" si="0"/>
        <v>270</v>
      </c>
      <c r="D19" s="422">
        <v>2.58</v>
      </c>
      <c r="E19" s="420">
        <v>281</v>
      </c>
      <c r="F19" s="107">
        <f t="shared" si="1"/>
        <v>195744.6</v>
      </c>
      <c r="G19" s="624">
        <v>945</v>
      </c>
      <c r="H19" s="590">
        <v>1659</v>
      </c>
      <c r="I19" s="590">
        <v>680</v>
      </c>
      <c r="J19" s="590">
        <f>G19/H19*SUM(C19:C21)*I19</f>
        <v>307162.02531645569</v>
      </c>
      <c r="K19" s="582">
        <f>J19+SUM(F19:F21)</f>
        <v>882071.16531645576</v>
      </c>
      <c r="L19" s="582">
        <f>K19/SUM(C19:C21)</f>
        <v>1112.3217721518988</v>
      </c>
      <c r="M19" s="255">
        <v>18</v>
      </c>
      <c r="N19" s="422">
        <v>9</v>
      </c>
      <c r="O19" s="442">
        <v>536</v>
      </c>
      <c r="Q19" s="691" t="s">
        <v>147</v>
      </c>
      <c r="R19" s="426" t="s">
        <v>96</v>
      </c>
      <c r="S19" s="426">
        <f>8*30+26</f>
        <v>266</v>
      </c>
      <c r="T19" s="426">
        <v>2.58</v>
      </c>
      <c r="U19" s="424">
        <v>281</v>
      </c>
      <c r="V19" s="107">
        <f t="shared" si="2"/>
        <v>192844.68</v>
      </c>
      <c r="W19" s="624">
        <v>945</v>
      </c>
      <c r="X19" s="590">
        <v>1659</v>
      </c>
      <c r="Y19" s="590">
        <v>680</v>
      </c>
      <c r="Z19" s="590">
        <f>W19/X19*SUM(S19:S21)*Y19</f>
        <v>335437.97468354431</v>
      </c>
      <c r="AA19" s="582">
        <f>Z19+SUM(V19:V21)</f>
        <v>963270.6546835443</v>
      </c>
      <c r="AB19" s="582">
        <f>AA19/SUM(S19:S21)</f>
        <v>1112.3217721518988</v>
      </c>
      <c r="AC19" s="255">
        <v>18</v>
      </c>
      <c r="AD19" s="255">
        <v>9</v>
      </c>
    </row>
    <row r="20" spans="1:30">
      <c r="A20" s="691"/>
      <c r="B20" s="422" t="s">
        <v>366</v>
      </c>
      <c r="C20" s="441">
        <f t="shared" si="0"/>
        <v>393</v>
      </c>
      <c r="D20" s="422">
        <v>2.58</v>
      </c>
      <c r="E20" s="420">
        <v>281</v>
      </c>
      <c r="F20" s="107">
        <f t="shared" si="1"/>
        <v>284917.14</v>
      </c>
      <c r="G20" s="624"/>
      <c r="H20" s="590"/>
      <c r="I20" s="590"/>
      <c r="J20" s="590"/>
      <c r="K20" s="582"/>
      <c r="L20" s="582"/>
      <c r="M20" s="255">
        <v>27</v>
      </c>
      <c r="N20" s="422">
        <v>13</v>
      </c>
      <c r="O20" s="442">
        <v>813</v>
      </c>
      <c r="Q20" s="691"/>
      <c r="R20" s="426" t="s">
        <v>366</v>
      </c>
      <c r="S20" s="426">
        <f>14*30</f>
        <v>420</v>
      </c>
      <c r="T20" s="426">
        <v>2.58</v>
      </c>
      <c r="U20" s="424">
        <v>281</v>
      </c>
      <c r="V20" s="107">
        <f t="shared" si="2"/>
        <v>304491.60000000003</v>
      </c>
      <c r="W20" s="624"/>
      <c r="X20" s="590"/>
      <c r="Y20" s="590"/>
      <c r="Z20" s="590"/>
      <c r="AA20" s="582"/>
      <c r="AB20" s="582"/>
      <c r="AC20" s="255">
        <v>27</v>
      </c>
      <c r="AD20" s="255">
        <v>14</v>
      </c>
    </row>
    <row r="21" spans="1:30">
      <c r="A21" s="691"/>
      <c r="B21" s="422" t="s">
        <v>95</v>
      </c>
      <c r="C21" s="441">
        <f t="shared" si="0"/>
        <v>130</v>
      </c>
      <c r="D21" s="422">
        <v>2.58</v>
      </c>
      <c r="E21" s="420">
        <v>281</v>
      </c>
      <c r="F21" s="107">
        <f t="shared" si="1"/>
        <v>94247.400000000009</v>
      </c>
      <c r="G21" s="624"/>
      <c r="H21" s="590"/>
      <c r="I21" s="590"/>
      <c r="J21" s="590"/>
      <c r="K21" s="582"/>
      <c r="L21" s="582"/>
      <c r="M21" s="255">
        <v>11</v>
      </c>
      <c r="N21" s="422">
        <v>5</v>
      </c>
      <c r="O21" s="442">
        <v>310</v>
      </c>
      <c r="Q21" s="691"/>
      <c r="R21" s="426" t="s">
        <v>95</v>
      </c>
      <c r="S21" s="426">
        <v>180</v>
      </c>
      <c r="T21" s="426">
        <v>2.58</v>
      </c>
      <c r="U21" s="424">
        <v>281</v>
      </c>
      <c r="V21" s="107">
        <f t="shared" si="2"/>
        <v>130496.40000000001</v>
      </c>
      <c r="W21" s="624"/>
      <c r="X21" s="590"/>
      <c r="Y21" s="590"/>
      <c r="Z21" s="590"/>
      <c r="AA21" s="582"/>
      <c r="AB21" s="582"/>
      <c r="AC21" s="255">
        <v>11</v>
      </c>
      <c r="AD21" s="255">
        <v>6</v>
      </c>
    </row>
    <row r="22" spans="1:30">
      <c r="A22" s="616" t="s">
        <v>262</v>
      </c>
      <c r="B22" s="421" t="s">
        <v>96</v>
      </c>
      <c r="C22" s="441">
        <f t="shared" si="0"/>
        <v>300</v>
      </c>
      <c r="D22" s="422">
        <v>2.58</v>
      </c>
      <c r="E22" s="420">
        <v>281</v>
      </c>
      <c r="F22" s="107">
        <f t="shared" si="1"/>
        <v>217494</v>
      </c>
      <c r="G22" s="624">
        <v>1003</v>
      </c>
      <c r="H22" s="590">
        <v>1686</v>
      </c>
      <c r="I22" s="590">
        <v>680</v>
      </c>
      <c r="J22" s="590">
        <f>G22/H22*SUM(C22:C24)*I22</f>
        <v>338188.27995255042</v>
      </c>
      <c r="K22" s="582">
        <f>J22+SUM(F22:F24)</f>
        <v>944271.55995255045</v>
      </c>
      <c r="L22" s="582">
        <f>K22/SUM(C22:C24)</f>
        <v>1129.5114353499407</v>
      </c>
      <c r="M22" s="255">
        <v>20</v>
      </c>
      <c r="N22" s="422">
        <v>10</v>
      </c>
      <c r="O22" s="441">
        <v>600</v>
      </c>
      <c r="Q22" s="616" t="s">
        <v>262</v>
      </c>
      <c r="R22" s="425" t="s">
        <v>96</v>
      </c>
      <c r="S22" s="425">
        <v>300</v>
      </c>
      <c r="T22" s="426">
        <v>2.58</v>
      </c>
      <c r="U22" s="424">
        <v>281</v>
      </c>
      <c r="V22" s="107">
        <f t="shared" si="2"/>
        <v>217494</v>
      </c>
      <c r="W22" s="624">
        <v>1003</v>
      </c>
      <c r="X22" s="590">
        <v>1686</v>
      </c>
      <c r="Y22" s="590">
        <v>680</v>
      </c>
      <c r="Z22" s="590">
        <f>W22/X22*SUM(S22:S24)*Y22</f>
        <v>343851.72004744958</v>
      </c>
      <c r="AA22" s="582">
        <f>Z22+SUM(V22:V24)</f>
        <v>960084.72004744958</v>
      </c>
      <c r="AB22" s="582">
        <f>AA22/SUM(S22:S24)</f>
        <v>1129.5114353499407</v>
      </c>
      <c r="AC22" s="255">
        <v>20</v>
      </c>
      <c r="AD22" s="255">
        <v>10</v>
      </c>
    </row>
    <row r="23" spans="1:30">
      <c r="A23" s="616"/>
      <c r="B23" s="422" t="s">
        <v>366</v>
      </c>
      <c r="C23" s="441">
        <f t="shared" si="0"/>
        <v>390</v>
      </c>
      <c r="D23" s="422">
        <v>2.58</v>
      </c>
      <c r="E23" s="420">
        <v>281</v>
      </c>
      <c r="F23" s="107">
        <f t="shared" si="1"/>
        <v>282742.2</v>
      </c>
      <c r="G23" s="624"/>
      <c r="H23" s="590"/>
      <c r="I23" s="590"/>
      <c r="J23" s="590"/>
      <c r="K23" s="582"/>
      <c r="L23" s="582"/>
      <c r="M23" s="255">
        <v>27</v>
      </c>
      <c r="N23" s="422">
        <v>13</v>
      </c>
      <c r="O23" s="441">
        <v>790</v>
      </c>
      <c r="Q23" s="616"/>
      <c r="R23" s="426" t="s">
        <v>366</v>
      </c>
      <c r="S23" s="425">
        <f>30*12+29+11</f>
        <v>400</v>
      </c>
      <c r="T23" s="426">
        <v>2.58</v>
      </c>
      <c r="U23" s="424">
        <v>281</v>
      </c>
      <c r="V23" s="107">
        <f t="shared" si="2"/>
        <v>289992</v>
      </c>
      <c r="W23" s="624"/>
      <c r="X23" s="590"/>
      <c r="Y23" s="590"/>
      <c r="Z23" s="590"/>
      <c r="AA23" s="582"/>
      <c r="AB23" s="582"/>
      <c r="AC23" s="255">
        <v>27</v>
      </c>
      <c r="AD23" s="255">
        <v>14</v>
      </c>
    </row>
    <row r="24" spans="1:30">
      <c r="A24" s="616"/>
      <c r="B24" s="421" t="s">
        <v>95</v>
      </c>
      <c r="C24" s="441">
        <f t="shared" si="0"/>
        <v>146</v>
      </c>
      <c r="D24" s="422">
        <v>2.58</v>
      </c>
      <c r="E24" s="420">
        <v>281</v>
      </c>
      <c r="F24" s="107">
        <f t="shared" si="1"/>
        <v>105847.08</v>
      </c>
      <c r="G24" s="624"/>
      <c r="H24" s="590"/>
      <c r="I24" s="590"/>
      <c r="J24" s="590"/>
      <c r="K24" s="582"/>
      <c r="L24" s="582"/>
      <c r="M24" s="255">
        <v>10</v>
      </c>
      <c r="N24" s="422">
        <v>5</v>
      </c>
      <c r="O24" s="441">
        <v>296</v>
      </c>
      <c r="Q24" s="616"/>
      <c r="R24" s="425" t="s">
        <v>95</v>
      </c>
      <c r="S24" s="425">
        <v>150</v>
      </c>
      <c r="T24" s="426">
        <v>2.58</v>
      </c>
      <c r="U24" s="424">
        <v>281</v>
      </c>
      <c r="V24" s="107">
        <f t="shared" si="2"/>
        <v>108747</v>
      </c>
      <c r="W24" s="624"/>
      <c r="X24" s="590"/>
      <c r="Y24" s="590"/>
      <c r="Z24" s="590"/>
      <c r="AA24" s="582"/>
      <c r="AB24" s="582"/>
      <c r="AC24" s="255">
        <v>10</v>
      </c>
      <c r="AD24" s="255">
        <v>5</v>
      </c>
    </row>
    <row r="25" spans="1:30">
      <c r="A25" s="691" t="s">
        <v>364</v>
      </c>
      <c r="B25" s="422" t="s">
        <v>272</v>
      </c>
      <c r="C25" s="441">
        <f t="shared" si="0"/>
        <v>902</v>
      </c>
      <c r="D25" s="422">
        <v>1.7</v>
      </c>
      <c r="E25" s="420">
        <v>281</v>
      </c>
      <c r="F25" s="107">
        <f t="shared" si="1"/>
        <v>430885.39999999997</v>
      </c>
      <c r="G25" s="640">
        <v>1998</v>
      </c>
      <c r="H25" s="582">
        <v>3222</v>
      </c>
      <c r="I25" s="590">
        <v>680</v>
      </c>
      <c r="J25" s="590">
        <f>G25/H25*SUM(C25:C27)*I25</f>
        <v>822689.83240223455</v>
      </c>
      <c r="K25" s="582">
        <f>J25+SUM(F25:F27)</f>
        <v>1767327.5324022346</v>
      </c>
      <c r="L25" s="582">
        <f>K25/SUM(C25:C27)</f>
        <v>905.85726929894133</v>
      </c>
      <c r="M25" s="255">
        <v>50</v>
      </c>
      <c r="N25" s="422">
        <v>30</v>
      </c>
      <c r="O25" s="443">
        <v>1505</v>
      </c>
      <c r="Q25" s="691" t="s">
        <v>364</v>
      </c>
      <c r="R25" s="426" t="s">
        <v>272</v>
      </c>
      <c r="S25" s="427">
        <f>18*30+32+31</f>
        <v>603</v>
      </c>
      <c r="T25" s="426">
        <v>1.7</v>
      </c>
      <c r="U25" s="424">
        <v>281</v>
      </c>
      <c r="V25" s="107">
        <f t="shared" si="2"/>
        <v>288053.09999999998</v>
      </c>
      <c r="W25" s="640">
        <v>1998</v>
      </c>
      <c r="X25" s="582">
        <v>3222</v>
      </c>
      <c r="Y25" s="590">
        <v>680</v>
      </c>
      <c r="Z25" s="590">
        <f>W25/X25*SUM(S25:S27)*Y25</f>
        <v>535950.16759776534</v>
      </c>
      <c r="AA25" s="582">
        <f>Z25+SUM(V25:V27)</f>
        <v>1150525.2675977652</v>
      </c>
      <c r="AB25" s="582">
        <f>AA25/SUM(S25:S27)</f>
        <v>905.21264169769097</v>
      </c>
      <c r="AC25" s="255">
        <v>50</v>
      </c>
      <c r="AD25" s="255">
        <v>20</v>
      </c>
    </row>
    <row r="26" spans="1:30">
      <c r="A26" s="691"/>
      <c r="B26" s="422" t="s">
        <v>96</v>
      </c>
      <c r="C26" s="441">
        <f t="shared" si="0"/>
        <v>599</v>
      </c>
      <c r="D26" s="422">
        <v>1.7</v>
      </c>
      <c r="E26" s="420">
        <v>281</v>
      </c>
      <c r="F26" s="107">
        <f t="shared" si="1"/>
        <v>286142.3</v>
      </c>
      <c r="G26" s="640"/>
      <c r="H26" s="582"/>
      <c r="I26" s="590"/>
      <c r="J26" s="590"/>
      <c r="K26" s="582"/>
      <c r="L26" s="582"/>
      <c r="M26" s="255">
        <v>34</v>
      </c>
      <c r="N26" s="422">
        <v>20</v>
      </c>
      <c r="O26" s="442">
        <v>1003</v>
      </c>
      <c r="Q26" s="691"/>
      <c r="R26" s="426" t="s">
        <v>96</v>
      </c>
      <c r="S26" s="426">
        <f>11*30+31+11+32</f>
        <v>404</v>
      </c>
      <c r="T26" s="426">
        <v>1.7</v>
      </c>
      <c r="U26" s="424">
        <v>281</v>
      </c>
      <c r="V26" s="107">
        <f t="shared" si="2"/>
        <v>192990.8</v>
      </c>
      <c r="W26" s="640"/>
      <c r="X26" s="582"/>
      <c r="Y26" s="590"/>
      <c r="Z26" s="590"/>
      <c r="AA26" s="582"/>
      <c r="AB26" s="582"/>
      <c r="AC26" s="255">
        <v>34</v>
      </c>
      <c r="AD26" s="255">
        <v>14</v>
      </c>
    </row>
    <row r="27" spans="1:30" ht="15" customHeight="1">
      <c r="A27" s="691"/>
      <c r="B27" s="422" t="s">
        <v>95</v>
      </c>
      <c r="C27" s="441">
        <f t="shared" si="0"/>
        <v>450</v>
      </c>
      <c r="D27" s="422">
        <v>1.8</v>
      </c>
      <c r="E27" s="420">
        <v>281</v>
      </c>
      <c r="F27" s="107">
        <f t="shared" si="1"/>
        <v>227610</v>
      </c>
      <c r="G27" s="640"/>
      <c r="H27" s="582"/>
      <c r="I27" s="590"/>
      <c r="J27" s="590"/>
      <c r="K27" s="582"/>
      <c r="L27" s="582"/>
      <c r="M27" s="255">
        <v>24</v>
      </c>
      <c r="N27" s="422">
        <v>15</v>
      </c>
      <c r="O27" s="442">
        <v>714</v>
      </c>
      <c r="Q27" s="691"/>
      <c r="R27" s="426" t="s">
        <v>95</v>
      </c>
      <c r="S27" s="426">
        <f>8*30+24</f>
        <v>264</v>
      </c>
      <c r="T27" s="426">
        <v>1.8</v>
      </c>
      <c r="U27" s="424">
        <v>281</v>
      </c>
      <c r="V27" s="107">
        <f t="shared" si="2"/>
        <v>133531.19999999998</v>
      </c>
      <c r="W27" s="640"/>
      <c r="X27" s="582"/>
      <c r="Y27" s="590"/>
      <c r="Z27" s="590"/>
      <c r="AA27" s="582"/>
      <c r="AB27" s="582"/>
      <c r="AC27" s="255">
        <v>24</v>
      </c>
      <c r="AD27" s="255">
        <v>9</v>
      </c>
    </row>
    <row r="28" spans="1:30">
      <c r="A28" s="616" t="s">
        <v>339</v>
      </c>
      <c r="B28" s="421" t="s">
        <v>94</v>
      </c>
      <c r="C28" s="441">
        <f t="shared" si="0"/>
        <v>838</v>
      </c>
      <c r="D28" s="195">
        <v>1.1299999999999999</v>
      </c>
      <c r="E28" s="420">
        <v>281</v>
      </c>
      <c r="F28" s="107">
        <f t="shared" si="1"/>
        <v>266090.13999999996</v>
      </c>
      <c r="G28" s="640">
        <v>2016</v>
      </c>
      <c r="H28" s="582">
        <v>4212</v>
      </c>
      <c r="I28" s="590">
        <v>680</v>
      </c>
      <c r="J28" s="590">
        <f>G28/H28*SUM(C28:C31)*I28</f>
        <v>683487.1794871795</v>
      </c>
      <c r="K28" s="582">
        <f>J28+SUM(F28:F31)</f>
        <v>1362102.1794871795</v>
      </c>
      <c r="L28" s="582">
        <f>K28/SUM(C28:C31)</f>
        <v>648.62008547008543</v>
      </c>
      <c r="M28" s="255">
        <v>54</v>
      </c>
      <c r="N28" s="422">
        <v>27</v>
      </c>
      <c r="O28" s="441">
        <v>1621</v>
      </c>
      <c r="Q28" s="616" t="s">
        <v>339</v>
      </c>
      <c r="R28" s="425" t="s">
        <v>94</v>
      </c>
      <c r="S28" s="425">
        <f>25*30+33</f>
        <v>783</v>
      </c>
      <c r="T28" s="195">
        <v>1.1299999999999999</v>
      </c>
      <c r="U28" s="424">
        <v>281</v>
      </c>
      <c r="V28" s="107">
        <f t="shared" si="2"/>
        <v>248625.99</v>
      </c>
      <c r="W28" s="640">
        <v>2016</v>
      </c>
      <c r="X28" s="582">
        <v>4212</v>
      </c>
      <c r="Y28" s="590">
        <v>680</v>
      </c>
      <c r="Z28" s="590">
        <f>W28/X28*SUM(S28:S31)*Y28</f>
        <v>687392.8205128205</v>
      </c>
      <c r="AA28" s="582">
        <f>Z28+SUM(V28:V31)</f>
        <v>1370183.4805128204</v>
      </c>
      <c r="AB28" s="582">
        <f>AA28/SUM(S28:S31)</f>
        <v>648.76111766705515</v>
      </c>
      <c r="AC28" s="255">
        <v>54</v>
      </c>
      <c r="AD28" s="255">
        <v>26</v>
      </c>
    </row>
    <row r="29" spans="1:30">
      <c r="A29" s="616"/>
      <c r="B29" s="421" t="s">
        <v>340</v>
      </c>
      <c r="C29" s="441">
        <f t="shared" si="0"/>
        <v>482</v>
      </c>
      <c r="D29" s="195">
        <v>1.1299999999999999</v>
      </c>
      <c r="E29" s="420">
        <v>281</v>
      </c>
      <c r="F29" s="107">
        <f t="shared" si="1"/>
        <v>153049.46</v>
      </c>
      <c r="G29" s="640"/>
      <c r="H29" s="582"/>
      <c r="I29" s="590"/>
      <c r="J29" s="590"/>
      <c r="K29" s="582"/>
      <c r="L29" s="582"/>
      <c r="M29" s="255">
        <v>33</v>
      </c>
      <c r="N29" s="422">
        <v>16</v>
      </c>
      <c r="O29" s="441">
        <v>989</v>
      </c>
      <c r="Q29" s="616"/>
      <c r="R29" s="425" t="s">
        <v>340</v>
      </c>
      <c r="S29" s="425">
        <f>16*30+27</f>
        <v>507</v>
      </c>
      <c r="T29" s="195">
        <v>1.1299999999999999</v>
      </c>
      <c r="U29" s="424">
        <v>281</v>
      </c>
      <c r="V29" s="107">
        <f t="shared" si="2"/>
        <v>160987.71</v>
      </c>
      <c r="W29" s="640"/>
      <c r="X29" s="582"/>
      <c r="Y29" s="590"/>
      <c r="Z29" s="590"/>
      <c r="AA29" s="582"/>
      <c r="AB29" s="582"/>
      <c r="AC29" s="255">
        <v>33</v>
      </c>
      <c r="AD29" s="255">
        <v>17</v>
      </c>
    </row>
    <row r="30" spans="1:30">
      <c r="A30" s="616"/>
      <c r="B30" s="421" t="s">
        <v>96</v>
      </c>
      <c r="C30" s="441">
        <f t="shared" si="0"/>
        <v>360</v>
      </c>
      <c r="D30" s="195">
        <v>1.1299999999999999</v>
      </c>
      <c r="E30" s="420">
        <v>281</v>
      </c>
      <c r="F30" s="107">
        <f t="shared" si="1"/>
        <v>114310.79999999999</v>
      </c>
      <c r="G30" s="640"/>
      <c r="H30" s="582"/>
      <c r="I30" s="590"/>
      <c r="J30" s="590"/>
      <c r="K30" s="582"/>
      <c r="L30" s="582"/>
      <c r="M30" s="255">
        <v>25</v>
      </c>
      <c r="N30" s="422">
        <v>12</v>
      </c>
      <c r="O30" s="441">
        <v>749</v>
      </c>
      <c r="Q30" s="616"/>
      <c r="R30" s="425" t="s">
        <v>96</v>
      </c>
      <c r="S30" s="425">
        <f>12*30+29</f>
        <v>389</v>
      </c>
      <c r="T30" s="195">
        <v>1.1299999999999999</v>
      </c>
      <c r="U30" s="424">
        <v>281</v>
      </c>
      <c r="V30" s="107">
        <f t="shared" si="2"/>
        <v>123519.16999999998</v>
      </c>
      <c r="W30" s="640"/>
      <c r="X30" s="582"/>
      <c r="Y30" s="590"/>
      <c r="Z30" s="590"/>
      <c r="AA30" s="582"/>
      <c r="AB30" s="582"/>
      <c r="AC30" s="255">
        <v>25</v>
      </c>
      <c r="AD30" s="255">
        <v>13</v>
      </c>
    </row>
    <row r="31" spans="1:30">
      <c r="A31" s="616"/>
      <c r="B31" s="421" t="s">
        <v>95</v>
      </c>
      <c r="C31" s="441">
        <f t="shared" si="0"/>
        <v>420</v>
      </c>
      <c r="D31" s="195">
        <v>1.23</v>
      </c>
      <c r="E31" s="420">
        <v>281</v>
      </c>
      <c r="F31" s="107">
        <f t="shared" si="1"/>
        <v>145164.6</v>
      </c>
      <c r="G31" s="640"/>
      <c r="H31" s="582"/>
      <c r="I31" s="590"/>
      <c r="J31" s="590"/>
      <c r="K31" s="582"/>
      <c r="L31" s="582"/>
      <c r="M31" s="255">
        <v>28</v>
      </c>
      <c r="N31" s="422">
        <v>14</v>
      </c>
      <c r="O31" s="441">
        <v>853</v>
      </c>
      <c r="Q31" s="616"/>
      <c r="R31" s="425" t="s">
        <v>95</v>
      </c>
      <c r="S31" s="425">
        <f>13*30+43</f>
        <v>433</v>
      </c>
      <c r="T31" s="195">
        <v>1.23</v>
      </c>
      <c r="U31" s="424">
        <v>281</v>
      </c>
      <c r="V31" s="107">
        <f t="shared" si="2"/>
        <v>149657.79</v>
      </c>
      <c r="W31" s="640"/>
      <c r="X31" s="582"/>
      <c r="Y31" s="590"/>
      <c r="Z31" s="590"/>
      <c r="AA31" s="582"/>
      <c r="AB31" s="582"/>
      <c r="AC31" s="255">
        <v>28</v>
      </c>
      <c r="AD31" s="255">
        <v>14</v>
      </c>
    </row>
    <row r="32" spans="1:30">
      <c r="A32" s="422" t="s">
        <v>365</v>
      </c>
      <c r="B32" s="421" t="s">
        <v>188</v>
      </c>
      <c r="C32" s="441">
        <f t="shared" si="0"/>
        <v>750</v>
      </c>
      <c r="D32" s="195">
        <v>1.45</v>
      </c>
      <c r="E32" s="420">
        <v>281</v>
      </c>
      <c r="F32" s="107">
        <f t="shared" si="1"/>
        <v>305587.5</v>
      </c>
      <c r="G32" s="422">
        <v>1565</v>
      </c>
      <c r="H32" s="419">
        <v>1500</v>
      </c>
      <c r="I32" s="420">
        <v>550</v>
      </c>
      <c r="J32" s="420">
        <f>G32/H32*SUM(C32:C32)*I32</f>
        <v>430374.99999999994</v>
      </c>
      <c r="K32" s="419">
        <f>J32+SUM(F32:F32)</f>
        <v>735962.5</v>
      </c>
      <c r="L32" s="419">
        <f>K32/SUM(C32:C32)</f>
        <v>981.2833333333333</v>
      </c>
      <c r="M32" s="255">
        <v>50</v>
      </c>
      <c r="N32" s="422">
        <v>25</v>
      </c>
      <c r="O32" s="441">
        <v>1500</v>
      </c>
      <c r="Q32" s="426" t="s">
        <v>365</v>
      </c>
      <c r="R32" s="425" t="s">
        <v>188</v>
      </c>
      <c r="S32" s="425">
        <f>25*30</f>
        <v>750</v>
      </c>
      <c r="T32" s="195">
        <v>1.45</v>
      </c>
      <c r="U32" s="424">
        <v>281</v>
      </c>
      <c r="V32" s="107">
        <f t="shared" si="2"/>
        <v>305587.5</v>
      </c>
      <c r="W32" s="426">
        <v>1565</v>
      </c>
      <c r="X32" s="423">
        <v>1500</v>
      </c>
      <c r="Y32" s="424">
        <v>550</v>
      </c>
      <c r="Z32" s="424">
        <f>W32/X32*SUM(S32:S32)*Y32</f>
        <v>430374.99999999994</v>
      </c>
      <c r="AA32" s="423">
        <f>Z32+SUM(V32:V32)</f>
        <v>735962.5</v>
      </c>
      <c r="AB32" s="423">
        <f>AA32/SUM(S32:S32)</f>
        <v>981.2833333333333</v>
      </c>
      <c r="AC32" s="255">
        <v>50</v>
      </c>
      <c r="AD32" s="255">
        <v>25</v>
      </c>
    </row>
    <row r="33" spans="1:30">
      <c r="A33" s="422" t="s">
        <v>365</v>
      </c>
      <c r="B33" s="421" t="s">
        <v>188</v>
      </c>
      <c r="C33" s="441">
        <f t="shared" si="0"/>
        <v>240</v>
      </c>
      <c r="D33" s="195">
        <v>2</v>
      </c>
      <c r="E33" s="420">
        <v>281</v>
      </c>
      <c r="F33" s="107">
        <f t="shared" si="1"/>
        <v>134880</v>
      </c>
      <c r="G33" s="420">
        <v>656</v>
      </c>
      <c r="H33" s="420">
        <v>480</v>
      </c>
      <c r="I33" s="420">
        <v>550</v>
      </c>
      <c r="J33" s="420">
        <f>G33/H33*SUM(C33:C33)*I33</f>
        <v>180400</v>
      </c>
      <c r="K33" s="419">
        <f>J33+SUM(F33:F33)</f>
        <v>315280</v>
      </c>
      <c r="L33" s="419">
        <f>K33/SUM(C33:C33)</f>
        <v>1313.6666666666667</v>
      </c>
      <c r="M33" s="255">
        <v>16</v>
      </c>
      <c r="N33" s="422">
        <v>8</v>
      </c>
      <c r="O33" s="441">
        <v>480</v>
      </c>
      <c r="Q33" s="426" t="s">
        <v>365</v>
      </c>
      <c r="R33" s="425" t="s">
        <v>188</v>
      </c>
      <c r="S33" s="425">
        <v>240</v>
      </c>
      <c r="T33" s="195">
        <v>2</v>
      </c>
      <c r="U33" s="424">
        <v>281</v>
      </c>
      <c r="V33" s="107">
        <f t="shared" si="2"/>
        <v>134880</v>
      </c>
      <c r="W33" s="424">
        <v>656</v>
      </c>
      <c r="X33" s="424">
        <v>480</v>
      </c>
      <c r="Y33" s="424">
        <v>550</v>
      </c>
      <c r="Z33" s="424">
        <f>W33/X33*SUM(S33:S33)*Y33</f>
        <v>180400</v>
      </c>
      <c r="AA33" s="423">
        <f>Z33+SUM(V33:V33)</f>
        <v>315280</v>
      </c>
      <c r="AB33" s="423">
        <f>AA33/SUM(S33:S33)</f>
        <v>1313.6666666666667</v>
      </c>
      <c r="AC33" s="255">
        <v>16</v>
      </c>
      <c r="AD33" s="255">
        <v>8</v>
      </c>
    </row>
    <row r="34" spans="1:30">
      <c r="A34" s="691" t="s">
        <v>352</v>
      </c>
      <c r="B34" s="421" t="s">
        <v>367</v>
      </c>
      <c r="C34" s="441">
        <f t="shared" si="0"/>
        <v>17000</v>
      </c>
      <c r="D34" s="201">
        <v>0.28999999999999998</v>
      </c>
      <c r="E34" s="420">
        <v>281</v>
      </c>
      <c r="F34" s="107">
        <f t="shared" si="1"/>
        <v>1385330</v>
      </c>
      <c r="G34" s="590">
        <v>910</v>
      </c>
      <c r="H34" s="590">
        <v>50000</v>
      </c>
      <c r="I34" s="590">
        <v>300</v>
      </c>
      <c r="J34" s="590">
        <f>G34/H34*SUM(C34:C40)*I34</f>
        <v>273000</v>
      </c>
      <c r="K34" s="582">
        <f>J34+SUM(F34:F40)</f>
        <v>4232290</v>
      </c>
      <c r="L34" s="582">
        <f>K34/SUM(C34:C40)</f>
        <v>84.645799999999994</v>
      </c>
      <c r="M34" s="255">
        <v>17</v>
      </c>
      <c r="N34" s="422">
        <v>17</v>
      </c>
      <c r="O34" s="442">
        <v>17000</v>
      </c>
      <c r="Q34" s="691" t="s">
        <v>352</v>
      </c>
      <c r="R34" s="425" t="s">
        <v>367</v>
      </c>
      <c r="S34" s="426">
        <v>0</v>
      </c>
      <c r="T34" s="201">
        <v>0.28999999999999998</v>
      </c>
      <c r="U34" s="424">
        <v>281</v>
      </c>
      <c r="V34" s="107">
        <f t="shared" si="2"/>
        <v>0</v>
      </c>
      <c r="W34" s="590">
        <v>910</v>
      </c>
      <c r="X34" s="590">
        <v>50000</v>
      </c>
      <c r="Y34" s="590">
        <v>300</v>
      </c>
      <c r="Z34" s="590">
        <f>W34/X34*SUM(S34:S40)*Y34</f>
        <v>0</v>
      </c>
      <c r="AA34" s="582">
        <f>Z34+SUM(V34:V40)</f>
        <v>0</v>
      </c>
      <c r="AB34" s="582" t="e">
        <f>AA34/SUM(S34:S40)</f>
        <v>#DIV/0!</v>
      </c>
      <c r="AC34" s="255">
        <v>17</v>
      </c>
      <c r="AD34" s="255">
        <v>0</v>
      </c>
    </row>
    <row r="35" spans="1:30">
      <c r="A35" s="691"/>
      <c r="B35" s="421" t="s">
        <v>368</v>
      </c>
      <c r="C35" s="441">
        <f t="shared" si="0"/>
        <v>13000</v>
      </c>
      <c r="D35" s="201">
        <v>0.27</v>
      </c>
      <c r="E35" s="420">
        <v>281</v>
      </c>
      <c r="F35" s="107">
        <f t="shared" si="1"/>
        <v>986310.00000000012</v>
      </c>
      <c r="G35" s="590"/>
      <c r="H35" s="590"/>
      <c r="I35" s="590"/>
      <c r="J35" s="590"/>
      <c r="K35" s="590"/>
      <c r="L35" s="582"/>
      <c r="M35" s="255">
        <v>13</v>
      </c>
      <c r="N35" s="420">
        <v>13</v>
      </c>
      <c r="O35" s="442">
        <v>13000</v>
      </c>
      <c r="Q35" s="691"/>
      <c r="R35" s="425" t="s">
        <v>368</v>
      </c>
      <c r="S35" s="426">
        <v>0</v>
      </c>
      <c r="T35" s="201">
        <v>0.27</v>
      </c>
      <c r="U35" s="424">
        <v>281</v>
      </c>
      <c r="V35" s="107">
        <f t="shared" si="2"/>
        <v>0</v>
      </c>
      <c r="W35" s="590"/>
      <c r="X35" s="590"/>
      <c r="Y35" s="590"/>
      <c r="Z35" s="590"/>
      <c r="AA35" s="590"/>
      <c r="AB35" s="582"/>
      <c r="AC35" s="255">
        <v>13</v>
      </c>
      <c r="AD35" s="255">
        <v>0</v>
      </c>
    </row>
    <row r="36" spans="1:30">
      <c r="A36" s="691"/>
      <c r="B36" s="421" t="s">
        <v>369</v>
      </c>
      <c r="C36" s="441">
        <f t="shared" si="0"/>
        <v>4000</v>
      </c>
      <c r="D36" s="201">
        <v>0.28999999999999998</v>
      </c>
      <c r="E36" s="420">
        <v>281</v>
      </c>
      <c r="F36" s="107">
        <f t="shared" si="1"/>
        <v>325960</v>
      </c>
      <c r="G36" s="590"/>
      <c r="H36" s="590"/>
      <c r="I36" s="590"/>
      <c r="J36" s="590"/>
      <c r="K36" s="590"/>
      <c r="L36" s="582"/>
      <c r="M36" s="255">
        <v>4</v>
      </c>
      <c r="N36" s="420">
        <v>4</v>
      </c>
      <c r="O36" s="442">
        <v>4000</v>
      </c>
      <c r="Q36" s="691"/>
      <c r="R36" s="425" t="s">
        <v>369</v>
      </c>
      <c r="S36" s="426">
        <v>0</v>
      </c>
      <c r="T36" s="201">
        <v>0.28999999999999998</v>
      </c>
      <c r="U36" s="424">
        <v>281</v>
      </c>
      <c r="V36" s="107">
        <f t="shared" si="2"/>
        <v>0</v>
      </c>
      <c r="W36" s="590"/>
      <c r="X36" s="590"/>
      <c r="Y36" s="590"/>
      <c r="Z36" s="590"/>
      <c r="AA36" s="590"/>
      <c r="AB36" s="582"/>
      <c r="AC36" s="255">
        <v>4</v>
      </c>
      <c r="AD36" s="255">
        <v>0</v>
      </c>
    </row>
    <row r="37" spans="1:30">
      <c r="A37" s="691"/>
      <c r="B37" s="421" t="s">
        <v>370</v>
      </c>
      <c r="C37" s="441">
        <f t="shared" si="0"/>
        <v>5000</v>
      </c>
      <c r="D37" s="201">
        <v>0.28999999999999998</v>
      </c>
      <c r="E37" s="420">
        <v>281</v>
      </c>
      <c r="F37" s="107">
        <f t="shared" si="1"/>
        <v>407450</v>
      </c>
      <c r="G37" s="590"/>
      <c r="H37" s="590"/>
      <c r="I37" s="590"/>
      <c r="J37" s="590"/>
      <c r="K37" s="590"/>
      <c r="L37" s="582"/>
      <c r="M37" s="255">
        <v>5</v>
      </c>
      <c r="N37" s="420">
        <v>5</v>
      </c>
      <c r="O37" s="442">
        <v>5000</v>
      </c>
      <c r="Q37" s="691"/>
      <c r="R37" s="425" t="s">
        <v>370</v>
      </c>
      <c r="S37" s="426">
        <v>0</v>
      </c>
      <c r="T37" s="201">
        <v>0.28999999999999998</v>
      </c>
      <c r="U37" s="424">
        <v>281</v>
      </c>
      <c r="V37" s="107">
        <f t="shared" si="2"/>
        <v>0</v>
      </c>
      <c r="W37" s="590"/>
      <c r="X37" s="590"/>
      <c r="Y37" s="590"/>
      <c r="Z37" s="590"/>
      <c r="AA37" s="590"/>
      <c r="AB37" s="582"/>
      <c r="AC37" s="255">
        <v>5</v>
      </c>
      <c r="AD37" s="255">
        <v>0</v>
      </c>
    </row>
    <row r="38" spans="1:30">
      <c r="A38" s="691"/>
      <c r="B38" s="421" t="s">
        <v>371</v>
      </c>
      <c r="C38" s="441">
        <f t="shared" si="0"/>
        <v>5000</v>
      </c>
      <c r="D38" s="201">
        <v>0.26</v>
      </c>
      <c r="E38" s="420">
        <v>281</v>
      </c>
      <c r="F38" s="107">
        <f t="shared" si="1"/>
        <v>365300</v>
      </c>
      <c r="G38" s="590"/>
      <c r="H38" s="590"/>
      <c r="I38" s="590"/>
      <c r="J38" s="590"/>
      <c r="K38" s="590"/>
      <c r="L38" s="582"/>
      <c r="M38" s="255">
        <v>5</v>
      </c>
      <c r="N38" s="420">
        <v>5</v>
      </c>
      <c r="O38" s="442">
        <v>5000</v>
      </c>
      <c r="Q38" s="691"/>
      <c r="R38" s="425" t="s">
        <v>371</v>
      </c>
      <c r="S38" s="426">
        <v>0</v>
      </c>
      <c r="T38" s="201">
        <v>0.26</v>
      </c>
      <c r="U38" s="424">
        <v>281</v>
      </c>
      <c r="V38" s="107">
        <f t="shared" si="2"/>
        <v>0</v>
      </c>
      <c r="W38" s="590"/>
      <c r="X38" s="590"/>
      <c r="Y38" s="590"/>
      <c r="Z38" s="590"/>
      <c r="AA38" s="590"/>
      <c r="AB38" s="582"/>
      <c r="AC38" s="255">
        <v>5</v>
      </c>
      <c r="AD38" s="255">
        <v>0</v>
      </c>
    </row>
    <row r="39" spans="1:30">
      <c r="A39" s="691"/>
      <c r="B39" s="421" t="s">
        <v>372</v>
      </c>
      <c r="C39" s="441">
        <f t="shared" si="0"/>
        <v>3000</v>
      </c>
      <c r="D39" s="201">
        <v>0.28999999999999998</v>
      </c>
      <c r="E39" s="420">
        <v>281</v>
      </c>
      <c r="F39" s="107">
        <f t="shared" si="1"/>
        <v>244469.99999999997</v>
      </c>
      <c r="G39" s="590"/>
      <c r="H39" s="590"/>
      <c r="I39" s="590"/>
      <c r="J39" s="590"/>
      <c r="K39" s="590"/>
      <c r="L39" s="582"/>
      <c r="M39" s="255">
        <v>3</v>
      </c>
      <c r="N39" s="420">
        <v>3</v>
      </c>
      <c r="O39" s="442">
        <v>3000</v>
      </c>
      <c r="Q39" s="691"/>
      <c r="R39" s="425" t="s">
        <v>372</v>
      </c>
      <c r="S39" s="426">
        <v>0</v>
      </c>
      <c r="T39" s="201">
        <v>0.28999999999999998</v>
      </c>
      <c r="U39" s="424">
        <v>281</v>
      </c>
      <c r="V39" s="107">
        <f t="shared" si="2"/>
        <v>0</v>
      </c>
      <c r="W39" s="590"/>
      <c r="X39" s="590"/>
      <c r="Y39" s="590"/>
      <c r="Z39" s="590"/>
      <c r="AA39" s="590"/>
      <c r="AB39" s="582"/>
      <c r="AC39" s="255">
        <v>3</v>
      </c>
      <c r="AD39" s="255">
        <v>0</v>
      </c>
    </row>
    <row r="40" spans="1:30">
      <c r="A40" s="691"/>
      <c r="B40" s="421" t="s">
        <v>373</v>
      </c>
      <c r="C40" s="441">
        <f t="shared" si="0"/>
        <v>3000</v>
      </c>
      <c r="D40" s="201">
        <v>0.28999999999999998</v>
      </c>
      <c r="E40" s="420">
        <v>281</v>
      </c>
      <c r="F40" s="107">
        <f t="shared" si="1"/>
        <v>244469.99999999997</v>
      </c>
      <c r="G40" s="590"/>
      <c r="H40" s="590"/>
      <c r="I40" s="590"/>
      <c r="J40" s="590"/>
      <c r="K40" s="590"/>
      <c r="L40" s="582"/>
      <c r="M40" s="255">
        <v>3</v>
      </c>
      <c r="N40" s="420">
        <v>3</v>
      </c>
      <c r="O40" s="441">
        <v>3000</v>
      </c>
      <c r="Q40" s="691"/>
      <c r="R40" s="425" t="s">
        <v>373</v>
      </c>
      <c r="S40" s="425">
        <v>0</v>
      </c>
      <c r="T40" s="201">
        <v>0.28999999999999998</v>
      </c>
      <c r="U40" s="424">
        <v>281</v>
      </c>
      <c r="V40" s="107">
        <f t="shared" si="2"/>
        <v>0</v>
      </c>
      <c r="W40" s="590"/>
      <c r="X40" s="590"/>
      <c r="Y40" s="590"/>
      <c r="Z40" s="590"/>
      <c r="AA40" s="590"/>
      <c r="AB40" s="582"/>
      <c r="AC40" s="255">
        <v>3</v>
      </c>
      <c r="AD40" s="255">
        <v>0</v>
      </c>
    </row>
    <row r="41" spans="1:30">
      <c r="A41" s="616" t="s">
        <v>342</v>
      </c>
      <c r="B41" s="421" t="s">
        <v>150</v>
      </c>
      <c r="C41" s="441">
        <f t="shared" si="0"/>
        <v>366</v>
      </c>
      <c r="D41" s="195">
        <v>0.95</v>
      </c>
      <c r="E41" s="420">
        <v>281</v>
      </c>
      <c r="F41" s="107">
        <f t="shared" si="1"/>
        <v>97703.7</v>
      </c>
      <c r="G41" s="590">
        <v>1355</v>
      </c>
      <c r="H41" s="590">
        <v>3578</v>
      </c>
      <c r="I41" s="590">
        <v>680</v>
      </c>
      <c r="J41" s="590">
        <f>G41/H41*SUM(C41:C46)*I41</f>
        <v>921400</v>
      </c>
      <c r="K41" s="582">
        <f>J41+SUM(F41:F46)</f>
        <v>1876547.0999999999</v>
      </c>
      <c r="L41" s="582">
        <f>K41/SUM(C41:C46)</f>
        <v>524.46816657350473</v>
      </c>
      <c r="M41" s="255">
        <v>12</v>
      </c>
      <c r="N41" s="420">
        <v>12</v>
      </c>
      <c r="O41" s="441">
        <v>366</v>
      </c>
      <c r="Q41" s="616" t="s">
        <v>342</v>
      </c>
      <c r="R41" s="425" t="s">
        <v>150</v>
      </c>
      <c r="S41" s="425">
        <v>0</v>
      </c>
      <c r="T41" s="195">
        <v>0.95</v>
      </c>
      <c r="U41" s="424">
        <v>281</v>
      </c>
      <c r="V41" s="107">
        <f t="shared" si="2"/>
        <v>0</v>
      </c>
      <c r="W41" s="590">
        <v>1355</v>
      </c>
      <c r="X41" s="590">
        <v>3578</v>
      </c>
      <c r="Y41" s="590">
        <v>680</v>
      </c>
      <c r="Z41" s="590">
        <f>W41/X41*SUM(S41:S46)*Y41</f>
        <v>0</v>
      </c>
      <c r="AA41" s="582">
        <f>Z41+SUM(V41:V46)</f>
        <v>0</v>
      </c>
      <c r="AB41" s="582" t="e">
        <f>AA41/SUM(S41:S46)</f>
        <v>#DIV/0!</v>
      </c>
      <c r="AC41" s="255">
        <v>12</v>
      </c>
      <c r="AD41" s="255">
        <v>0</v>
      </c>
    </row>
    <row r="42" spans="1:30">
      <c r="A42" s="616"/>
      <c r="B42" s="421" t="s">
        <v>298</v>
      </c>
      <c r="C42" s="441">
        <f t="shared" si="0"/>
        <v>30</v>
      </c>
      <c r="D42" s="195">
        <v>0.95</v>
      </c>
      <c r="E42" s="420">
        <v>281</v>
      </c>
      <c r="F42" s="107">
        <f t="shared" si="1"/>
        <v>8008.5</v>
      </c>
      <c r="G42" s="590"/>
      <c r="H42" s="590"/>
      <c r="I42" s="590"/>
      <c r="J42" s="590"/>
      <c r="K42" s="590"/>
      <c r="L42" s="582"/>
      <c r="M42" s="255">
        <v>1</v>
      </c>
      <c r="N42" s="420">
        <v>1</v>
      </c>
      <c r="O42" s="441">
        <v>30</v>
      </c>
      <c r="Q42" s="616"/>
      <c r="R42" s="425" t="s">
        <v>298</v>
      </c>
      <c r="S42" s="425">
        <v>0</v>
      </c>
      <c r="T42" s="195">
        <v>0.95</v>
      </c>
      <c r="U42" s="424">
        <v>281</v>
      </c>
      <c r="V42" s="107">
        <f t="shared" si="2"/>
        <v>0</v>
      </c>
      <c r="W42" s="590"/>
      <c r="X42" s="590"/>
      <c r="Y42" s="590"/>
      <c r="Z42" s="590"/>
      <c r="AA42" s="590"/>
      <c r="AB42" s="582"/>
      <c r="AC42" s="255">
        <v>1</v>
      </c>
      <c r="AD42" s="255">
        <v>0</v>
      </c>
    </row>
    <row r="43" spans="1:30">
      <c r="A43" s="616"/>
      <c r="B43" s="421" t="s">
        <v>95</v>
      </c>
      <c r="C43" s="441">
        <f t="shared" si="0"/>
        <v>753</v>
      </c>
      <c r="D43" s="195">
        <v>0.95</v>
      </c>
      <c r="E43" s="420">
        <v>281</v>
      </c>
      <c r="F43" s="107">
        <f t="shared" si="1"/>
        <v>201013.35</v>
      </c>
      <c r="G43" s="590"/>
      <c r="H43" s="590"/>
      <c r="I43" s="590"/>
      <c r="J43" s="590"/>
      <c r="K43" s="590"/>
      <c r="L43" s="582"/>
      <c r="M43" s="255">
        <v>25</v>
      </c>
      <c r="N43" s="420">
        <v>25</v>
      </c>
      <c r="O43" s="441">
        <v>753</v>
      </c>
      <c r="Q43" s="616"/>
      <c r="R43" s="425" t="s">
        <v>95</v>
      </c>
      <c r="S43" s="425">
        <v>0</v>
      </c>
      <c r="T43" s="195">
        <v>0.95</v>
      </c>
      <c r="U43" s="424">
        <v>281</v>
      </c>
      <c r="V43" s="107">
        <f t="shared" si="2"/>
        <v>0</v>
      </c>
      <c r="W43" s="590"/>
      <c r="X43" s="590"/>
      <c r="Y43" s="590"/>
      <c r="Z43" s="590"/>
      <c r="AA43" s="590"/>
      <c r="AB43" s="582"/>
      <c r="AC43" s="255">
        <v>25</v>
      </c>
      <c r="AD43" s="255">
        <v>0</v>
      </c>
    </row>
    <row r="44" spans="1:30">
      <c r="A44" s="616"/>
      <c r="B44" s="421" t="s">
        <v>102</v>
      </c>
      <c r="C44" s="441">
        <f t="shared" si="0"/>
        <v>1039</v>
      </c>
      <c r="D44" s="195">
        <v>0.95</v>
      </c>
      <c r="E44" s="420">
        <v>281</v>
      </c>
      <c r="F44" s="107">
        <f t="shared" si="1"/>
        <v>277361.05</v>
      </c>
      <c r="G44" s="590"/>
      <c r="H44" s="590"/>
      <c r="I44" s="590"/>
      <c r="J44" s="590"/>
      <c r="K44" s="590"/>
      <c r="L44" s="582"/>
      <c r="M44" s="255">
        <v>35</v>
      </c>
      <c r="N44" s="420">
        <v>35</v>
      </c>
      <c r="O44" s="441">
        <v>1039</v>
      </c>
      <c r="Q44" s="616"/>
      <c r="R44" s="425" t="s">
        <v>102</v>
      </c>
      <c r="S44" s="425">
        <v>0</v>
      </c>
      <c r="T44" s="195">
        <v>0.95</v>
      </c>
      <c r="U44" s="424">
        <v>281</v>
      </c>
      <c r="V44" s="107">
        <f t="shared" si="2"/>
        <v>0</v>
      </c>
      <c r="W44" s="590"/>
      <c r="X44" s="590"/>
      <c r="Y44" s="590"/>
      <c r="Z44" s="590"/>
      <c r="AA44" s="590"/>
      <c r="AB44" s="582"/>
      <c r="AC44" s="255">
        <v>35</v>
      </c>
      <c r="AD44" s="255">
        <v>0</v>
      </c>
    </row>
    <row r="45" spans="1:30">
      <c r="A45" s="616"/>
      <c r="B45" s="421" t="s">
        <v>100</v>
      </c>
      <c r="C45" s="441">
        <f t="shared" si="0"/>
        <v>814</v>
      </c>
      <c r="D45" s="195">
        <v>0.95</v>
      </c>
      <c r="E45" s="420">
        <v>281</v>
      </c>
      <c r="F45" s="107">
        <f t="shared" si="1"/>
        <v>217297.3</v>
      </c>
      <c r="G45" s="590"/>
      <c r="H45" s="590"/>
      <c r="I45" s="590"/>
      <c r="J45" s="590"/>
      <c r="K45" s="590"/>
      <c r="L45" s="582"/>
      <c r="M45" s="255">
        <v>27</v>
      </c>
      <c r="N45" s="420">
        <v>27</v>
      </c>
      <c r="O45" s="441">
        <v>814</v>
      </c>
      <c r="Q45" s="616"/>
      <c r="R45" s="425" t="s">
        <v>100</v>
      </c>
      <c r="S45" s="425">
        <v>0</v>
      </c>
      <c r="T45" s="195">
        <v>0.95</v>
      </c>
      <c r="U45" s="424">
        <v>281</v>
      </c>
      <c r="V45" s="107">
        <f t="shared" si="2"/>
        <v>0</v>
      </c>
      <c r="W45" s="590"/>
      <c r="X45" s="590"/>
      <c r="Y45" s="590"/>
      <c r="Z45" s="590"/>
      <c r="AA45" s="590"/>
      <c r="AB45" s="582"/>
      <c r="AC45" s="255">
        <v>27</v>
      </c>
      <c r="AD45" s="255">
        <v>0</v>
      </c>
    </row>
    <row r="46" spans="1:30">
      <c r="A46" s="616"/>
      <c r="B46" s="421" t="s">
        <v>299</v>
      </c>
      <c r="C46" s="441">
        <f t="shared" si="0"/>
        <v>576</v>
      </c>
      <c r="D46" s="195">
        <v>0.95</v>
      </c>
      <c r="E46" s="420">
        <v>281</v>
      </c>
      <c r="F46" s="107">
        <f t="shared" si="1"/>
        <v>153763.19999999998</v>
      </c>
      <c r="G46" s="590"/>
      <c r="H46" s="590"/>
      <c r="I46" s="590"/>
      <c r="J46" s="590"/>
      <c r="K46" s="590"/>
      <c r="L46" s="582"/>
      <c r="M46" s="255">
        <v>19</v>
      </c>
      <c r="N46" s="420">
        <v>19</v>
      </c>
      <c r="O46" s="441">
        <v>576</v>
      </c>
      <c r="Q46" s="616"/>
      <c r="R46" s="425" t="s">
        <v>299</v>
      </c>
      <c r="S46" s="425">
        <v>0</v>
      </c>
      <c r="T46" s="195">
        <v>0.95</v>
      </c>
      <c r="U46" s="424">
        <v>281</v>
      </c>
      <c r="V46" s="107">
        <f t="shared" si="2"/>
        <v>0</v>
      </c>
      <c r="W46" s="590"/>
      <c r="X46" s="590"/>
      <c r="Y46" s="590"/>
      <c r="Z46" s="590"/>
      <c r="AA46" s="590"/>
      <c r="AB46" s="582"/>
      <c r="AC46" s="255">
        <v>19</v>
      </c>
      <c r="AD46" s="255">
        <v>0</v>
      </c>
    </row>
    <row r="47" spans="1:30">
      <c r="A47" s="420" t="s">
        <v>4</v>
      </c>
      <c r="B47" s="420"/>
      <c r="C47" s="420">
        <f>SUM(C3:C46)</f>
        <v>64683</v>
      </c>
      <c r="D47" s="420"/>
      <c r="E47" s="420"/>
      <c r="F47" s="419">
        <f>SUM(F3:F32)</f>
        <v>5593779.8899999997</v>
      </c>
      <c r="G47" s="420">
        <f>SUM(G3:G46)</f>
        <v>16561</v>
      </c>
      <c r="H47" s="420">
        <f>SUM(H2:H46)</f>
        <v>76691</v>
      </c>
      <c r="I47" s="420"/>
      <c r="J47" s="420">
        <f>SUM(J3:J46)</f>
        <v>5783830.4868811918</v>
      </c>
      <c r="K47" s="419">
        <f>SUM(K3:K46)</f>
        <v>16426927.476881193</v>
      </c>
      <c r="L47" s="420"/>
      <c r="M47" s="430">
        <f>SUM(M3:M46)</f>
        <v>933</v>
      </c>
      <c r="N47" s="420">
        <f>SUM(N3:N46)</f>
        <v>535</v>
      </c>
      <c r="O47" s="444">
        <f>SUM(O3:O46)</f>
        <v>76691</v>
      </c>
      <c r="Q47" s="424" t="s">
        <v>4</v>
      </c>
      <c r="R47" s="424"/>
      <c r="S47" s="424">
        <f>SUM(S3:S46)</f>
        <v>12008</v>
      </c>
      <c r="T47" s="424"/>
      <c r="U47" s="424"/>
      <c r="V47" s="423">
        <f>SUM(V3:V46)</f>
        <v>5996821</v>
      </c>
      <c r="W47" s="424">
        <f>SUM(W3:W46)</f>
        <v>16561</v>
      </c>
      <c r="X47" s="424">
        <f>SUM(X2:X46)</f>
        <v>76691</v>
      </c>
      <c r="Y47" s="424"/>
      <c r="Z47" s="424">
        <f>SUM(Z3:Z46)</f>
        <v>4843119.5131188072</v>
      </c>
      <c r="AA47" s="423">
        <f>SUM(AA3:AA46)</f>
        <v>10839940.513118807</v>
      </c>
      <c r="AB47" s="424"/>
      <c r="AC47" s="430">
        <f>SUM(AC3:AC46)</f>
        <v>933</v>
      </c>
      <c r="AD47" s="255">
        <f t="shared" ref="AD47" si="3">AC47-N47</f>
        <v>398</v>
      </c>
    </row>
    <row r="48" spans="1:30">
      <c r="F48" s="699" t="s">
        <v>233</v>
      </c>
      <c r="G48" s="699"/>
      <c r="H48" s="428">
        <f>K48+K47</f>
        <v>16591196.751650006</v>
      </c>
      <c r="I48" s="699" t="s">
        <v>232</v>
      </c>
      <c r="J48" s="699"/>
      <c r="K48" s="429">
        <f>K47*1%</f>
        <v>164269.27476881194</v>
      </c>
      <c r="L48" s="418"/>
      <c r="W48" s="558" t="s">
        <v>233</v>
      </c>
      <c r="X48" s="558"/>
      <c r="Y48" s="27">
        <f>AA47+AA48</f>
        <v>10948339.918249995</v>
      </c>
      <c r="Z48" s="2" t="s">
        <v>232</v>
      </c>
      <c r="AA48" s="2">
        <f>AA47*1%</f>
        <v>108399.40513118808</v>
      </c>
      <c r="AD48" s="439"/>
    </row>
    <row r="50" spans="13:22">
      <c r="V50" s="439"/>
    </row>
    <row r="54" spans="13:22">
      <c r="M54" s="652" t="s">
        <v>286</v>
      </c>
      <c r="N54" s="652"/>
      <c r="O54" s="652"/>
      <c r="P54" s="652"/>
      <c r="Q54" s="652"/>
    </row>
    <row r="55" spans="13:22">
      <c r="M55" s="652"/>
      <c r="N55" s="652"/>
      <c r="O55" s="652"/>
      <c r="P55" s="652"/>
      <c r="Q55" s="652"/>
    </row>
    <row r="56" spans="13:22" ht="31.5">
      <c r="M56" s="100" t="s">
        <v>0</v>
      </c>
      <c r="N56" s="100" t="s">
        <v>140</v>
      </c>
      <c r="O56" s="105" t="s">
        <v>125</v>
      </c>
      <c r="P56" s="105" t="s">
        <v>126</v>
      </c>
      <c r="Q56" s="105" t="s">
        <v>360</v>
      </c>
    </row>
    <row r="57" spans="13:22">
      <c r="M57" s="426">
        <v>192</v>
      </c>
      <c r="N57" s="425" t="s">
        <v>331</v>
      </c>
      <c r="O57" s="255">
        <v>11</v>
      </c>
      <c r="P57" s="426">
        <v>5</v>
      </c>
      <c r="Q57" s="255">
        <v>6</v>
      </c>
    </row>
    <row r="58" spans="13:22">
      <c r="M58" s="425" t="s">
        <v>240</v>
      </c>
      <c r="N58" s="425" t="s">
        <v>101</v>
      </c>
      <c r="O58" s="255">
        <v>100</v>
      </c>
      <c r="P58" s="426">
        <v>30</v>
      </c>
      <c r="Q58" s="255">
        <v>70</v>
      </c>
    </row>
    <row r="59" spans="13:22">
      <c r="M59" s="624" t="s">
        <v>268</v>
      </c>
      <c r="N59" s="425" t="s">
        <v>272</v>
      </c>
      <c r="O59" s="255">
        <v>33</v>
      </c>
      <c r="P59" s="426">
        <v>16</v>
      </c>
      <c r="Q59" s="255">
        <v>17</v>
      </c>
    </row>
    <row r="60" spans="13:22">
      <c r="M60" s="624"/>
      <c r="N60" s="425" t="s">
        <v>96</v>
      </c>
      <c r="O60" s="255">
        <v>21</v>
      </c>
      <c r="P60" s="426">
        <v>10</v>
      </c>
      <c r="Q60" s="255">
        <v>11</v>
      </c>
    </row>
    <row r="61" spans="13:22">
      <c r="M61" s="624"/>
      <c r="N61" s="425" t="s">
        <v>95</v>
      </c>
      <c r="O61" s="255">
        <v>17</v>
      </c>
      <c r="P61" s="426">
        <v>8</v>
      </c>
      <c r="Q61" s="255">
        <v>9</v>
      </c>
    </row>
    <row r="62" spans="13:22">
      <c r="M62" s="624"/>
      <c r="N62" s="425" t="s">
        <v>102</v>
      </c>
      <c r="O62" s="255">
        <v>10</v>
      </c>
      <c r="P62" s="426">
        <v>5</v>
      </c>
      <c r="Q62" s="255">
        <v>5</v>
      </c>
    </row>
    <row r="63" spans="13:22">
      <c r="M63" s="616" t="s">
        <v>361</v>
      </c>
      <c r="N63" s="425" t="s">
        <v>98</v>
      </c>
      <c r="O63" s="255">
        <v>17</v>
      </c>
      <c r="P63" s="426">
        <v>8</v>
      </c>
      <c r="Q63" s="255">
        <v>9</v>
      </c>
    </row>
    <row r="64" spans="13:22">
      <c r="M64" s="616"/>
      <c r="N64" s="425" t="s">
        <v>150</v>
      </c>
      <c r="O64" s="255">
        <v>10</v>
      </c>
      <c r="P64" s="426">
        <v>5</v>
      </c>
      <c r="Q64" s="255">
        <v>5</v>
      </c>
    </row>
    <row r="65" spans="13:17">
      <c r="M65" s="616"/>
      <c r="N65" s="425" t="s">
        <v>96</v>
      </c>
      <c r="O65" s="255">
        <v>17</v>
      </c>
      <c r="P65" s="426">
        <v>8</v>
      </c>
      <c r="Q65" s="255">
        <v>9</v>
      </c>
    </row>
    <row r="66" spans="13:17">
      <c r="M66" s="616"/>
      <c r="N66" s="425" t="s">
        <v>95</v>
      </c>
      <c r="O66" s="255">
        <v>7</v>
      </c>
      <c r="P66" s="426">
        <v>3</v>
      </c>
      <c r="Q66" s="255">
        <v>4</v>
      </c>
    </row>
    <row r="67" spans="13:17">
      <c r="M67" s="616" t="s">
        <v>362</v>
      </c>
      <c r="N67" s="425" t="s">
        <v>98</v>
      </c>
      <c r="O67" s="255">
        <v>17</v>
      </c>
      <c r="P67" s="426">
        <v>8</v>
      </c>
      <c r="Q67" s="255">
        <v>9</v>
      </c>
    </row>
    <row r="68" spans="13:17">
      <c r="M68" s="616"/>
      <c r="N68" s="425" t="s">
        <v>96</v>
      </c>
      <c r="O68" s="255">
        <v>12</v>
      </c>
      <c r="P68" s="426">
        <v>6</v>
      </c>
      <c r="Q68" s="255">
        <v>6</v>
      </c>
    </row>
    <row r="69" spans="13:17">
      <c r="M69" s="616"/>
      <c r="N69" s="425" t="s">
        <v>95</v>
      </c>
      <c r="O69" s="255">
        <v>6</v>
      </c>
      <c r="P69" s="426">
        <v>3</v>
      </c>
      <c r="Q69" s="255">
        <v>3</v>
      </c>
    </row>
    <row r="70" spans="13:17">
      <c r="M70" s="691" t="s">
        <v>363</v>
      </c>
      <c r="N70" s="426" t="s">
        <v>96</v>
      </c>
      <c r="O70" s="255">
        <v>17</v>
      </c>
      <c r="P70" s="426">
        <v>8</v>
      </c>
      <c r="Q70" s="255">
        <v>9</v>
      </c>
    </row>
    <row r="71" spans="13:17">
      <c r="M71" s="691"/>
      <c r="N71" s="426" t="s">
        <v>366</v>
      </c>
      <c r="O71" s="255">
        <v>30</v>
      </c>
      <c r="P71" s="426">
        <v>15</v>
      </c>
      <c r="Q71" s="255">
        <v>15</v>
      </c>
    </row>
    <row r="72" spans="13:17">
      <c r="M72" s="691"/>
      <c r="N72" s="426" t="s">
        <v>95</v>
      </c>
      <c r="O72" s="255">
        <v>12</v>
      </c>
      <c r="P72" s="426">
        <v>6</v>
      </c>
      <c r="Q72" s="255">
        <v>6</v>
      </c>
    </row>
    <row r="73" spans="13:17">
      <c r="M73" s="691" t="s">
        <v>147</v>
      </c>
      <c r="N73" s="426" t="s">
        <v>96</v>
      </c>
      <c r="O73" s="255">
        <v>18</v>
      </c>
      <c r="P73" s="426">
        <v>9</v>
      </c>
      <c r="Q73" s="255">
        <v>9</v>
      </c>
    </row>
    <row r="74" spans="13:17">
      <c r="M74" s="691"/>
      <c r="N74" s="426" t="s">
        <v>366</v>
      </c>
      <c r="O74" s="255">
        <v>27</v>
      </c>
      <c r="P74" s="426">
        <v>13</v>
      </c>
      <c r="Q74" s="255">
        <v>14</v>
      </c>
    </row>
    <row r="75" spans="13:17">
      <c r="M75" s="691"/>
      <c r="N75" s="426" t="s">
        <v>95</v>
      </c>
      <c r="O75" s="255">
        <v>11</v>
      </c>
      <c r="P75" s="426">
        <v>5</v>
      </c>
      <c r="Q75" s="255">
        <v>6</v>
      </c>
    </row>
    <row r="76" spans="13:17">
      <c r="M76" s="616" t="s">
        <v>262</v>
      </c>
      <c r="N76" s="425" t="s">
        <v>96</v>
      </c>
      <c r="O76" s="255">
        <v>20</v>
      </c>
      <c r="P76" s="426">
        <v>10</v>
      </c>
      <c r="Q76" s="255">
        <v>10</v>
      </c>
    </row>
    <row r="77" spans="13:17">
      <c r="M77" s="616"/>
      <c r="N77" s="426" t="s">
        <v>366</v>
      </c>
      <c r="O77" s="255">
        <v>27</v>
      </c>
      <c r="P77" s="426">
        <v>13</v>
      </c>
      <c r="Q77" s="255">
        <v>14</v>
      </c>
    </row>
    <row r="78" spans="13:17">
      <c r="M78" s="616"/>
      <c r="N78" s="425" t="s">
        <v>95</v>
      </c>
      <c r="O78" s="255">
        <v>10</v>
      </c>
      <c r="P78" s="426">
        <v>5</v>
      </c>
      <c r="Q78" s="255">
        <v>5</v>
      </c>
    </row>
    <row r="79" spans="13:17">
      <c r="M79" s="691" t="s">
        <v>364</v>
      </c>
      <c r="N79" s="426" t="s">
        <v>272</v>
      </c>
      <c r="O79" s="255">
        <v>50</v>
      </c>
      <c r="P79" s="426">
        <v>30</v>
      </c>
      <c r="Q79" s="255">
        <v>20</v>
      </c>
    </row>
    <row r="80" spans="13:17">
      <c r="M80" s="691"/>
      <c r="N80" s="426" t="s">
        <v>96</v>
      </c>
      <c r="O80" s="255">
        <v>34</v>
      </c>
      <c r="P80" s="426">
        <v>20</v>
      </c>
      <c r="Q80" s="255">
        <v>14</v>
      </c>
    </row>
    <row r="81" spans="13:17">
      <c r="M81" s="691"/>
      <c r="N81" s="426" t="s">
        <v>95</v>
      </c>
      <c r="O81" s="255">
        <v>24</v>
      </c>
      <c r="P81" s="426">
        <v>15</v>
      </c>
      <c r="Q81" s="255">
        <v>9</v>
      </c>
    </row>
    <row r="82" spans="13:17">
      <c r="M82" s="616" t="s">
        <v>339</v>
      </c>
      <c r="N82" s="425" t="s">
        <v>94</v>
      </c>
      <c r="O82" s="255">
        <v>54</v>
      </c>
      <c r="P82" s="426">
        <v>27</v>
      </c>
      <c r="Q82" s="255">
        <v>27</v>
      </c>
    </row>
    <row r="83" spans="13:17">
      <c r="M83" s="616"/>
      <c r="N83" s="425" t="s">
        <v>340</v>
      </c>
      <c r="O83" s="255">
        <v>33</v>
      </c>
      <c r="P83" s="426">
        <v>16</v>
      </c>
      <c r="Q83" s="255">
        <v>17</v>
      </c>
    </row>
    <row r="84" spans="13:17">
      <c r="M84" s="616"/>
      <c r="N84" s="425" t="s">
        <v>96</v>
      </c>
      <c r="O84" s="255">
        <v>25</v>
      </c>
      <c r="P84" s="426">
        <v>12</v>
      </c>
      <c r="Q84" s="255">
        <v>13</v>
      </c>
    </row>
    <row r="85" spans="13:17">
      <c r="M85" s="616"/>
      <c r="N85" s="425" t="s">
        <v>95</v>
      </c>
      <c r="O85" s="255">
        <v>28</v>
      </c>
      <c r="P85" s="426">
        <v>14</v>
      </c>
      <c r="Q85" s="255">
        <v>14</v>
      </c>
    </row>
    <row r="86" spans="13:17">
      <c r="M86" s="426" t="s">
        <v>365</v>
      </c>
      <c r="N86" s="425" t="s">
        <v>188</v>
      </c>
      <c r="O86" s="255">
        <v>50</v>
      </c>
      <c r="P86" s="426">
        <v>25</v>
      </c>
      <c r="Q86" s="255">
        <v>25</v>
      </c>
    </row>
    <row r="87" spans="13:17">
      <c r="M87" s="426" t="s">
        <v>365</v>
      </c>
      <c r="N87" s="425" t="s">
        <v>188</v>
      </c>
      <c r="O87" s="255">
        <v>16</v>
      </c>
      <c r="P87" s="426">
        <v>8</v>
      </c>
      <c r="Q87" s="255">
        <v>8</v>
      </c>
    </row>
    <row r="88" spans="13:17">
      <c r="M88" s="691" t="s">
        <v>352</v>
      </c>
      <c r="N88" s="425" t="s">
        <v>367</v>
      </c>
      <c r="O88" s="255">
        <v>17</v>
      </c>
      <c r="P88" s="426">
        <v>17</v>
      </c>
      <c r="Q88" s="255">
        <v>0</v>
      </c>
    </row>
    <row r="89" spans="13:17">
      <c r="M89" s="691"/>
      <c r="N89" s="425" t="s">
        <v>368</v>
      </c>
      <c r="O89" s="255">
        <v>13</v>
      </c>
      <c r="P89" s="424">
        <v>13</v>
      </c>
      <c r="Q89" s="255">
        <v>0</v>
      </c>
    </row>
    <row r="90" spans="13:17">
      <c r="M90" s="691"/>
      <c r="N90" s="425" t="s">
        <v>369</v>
      </c>
      <c r="O90" s="255">
        <v>4</v>
      </c>
      <c r="P90" s="424">
        <v>4</v>
      </c>
      <c r="Q90" s="255">
        <v>0</v>
      </c>
    </row>
    <row r="91" spans="13:17">
      <c r="M91" s="691"/>
      <c r="N91" s="425" t="s">
        <v>370</v>
      </c>
      <c r="O91" s="255">
        <v>5</v>
      </c>
      <c r="P91" s="424">
        <v>5</v>
      </c>
      <c r="Q91" s="255">
        <v>0</v>
      </c>
    </row>
    <row r="92" spans="13:17">
      <c r="M92" s="691"/>
      <c r="N92" s="425" t="s">
        <v>371</v>
      </c>
      <c r="O92" s="255">
        <v>5</v>
      </c>
      <c r="P92" s="424">
        <v>5</v>
      </c>
      <c r="Q92" s="255">
        <v>0</v>
      </c>
    </row>
    <row r="93" spans="13:17">
      <c r="M93" s="691"/>
      <c r="N93" s="425" t="s">
        <v>372</v>
      </c>
      <c r="O93" s="255">
        <v>3</v>
      </c>
      <c r="P93" s="424">
        <v>3</v>
      </c>
      <c r="Q93" s="255">
        <v>0</v>
      </c>
    </row>
    <row r="94" spans="13:17">
      <c r="M94" s="691"/>
      <c r="N94" s="425" t="s">
        <v>373</v>
      </c>
      <c r="O94" s="255">
        <v>3</v>
      </c>
      <c r="P94" s="424">
        <v>3</v>
      </c>
      <c r="Q94" s="255">
        <v>0</v>
      </c>
    </row>
    <row r="95" spans="13:17">
      <c r="M95" s="616" t="s">
        <v>342</v>
      </c>
      <c r="N95" s="425" t="s">
        <v>150</v>
      </c>
      <c r="O95" s="255">
        <v>12</v>
      </c>
      <c r="P95" s="424">
        <v>12</v>
      </c>
      <c r="Q95" s="255">
        <v>0</v>
      </c>
    </row>
    <row r="96" spans="13:17">
      <c r="M96" s="616"/>
      <c r="N96" s="425" t="s">
        <v>298</v>
      </c>
      <c r="O96" s="255">
        <v>1</v>
      </c>
      <c r="P96" s="424">
        <v>1</v>
      </c>
      <c r="Q96" s="255">
        <v>0</v>
      </c>
    </row>
    <row r="97" spans="13:17">
      <c r="M97" s="616"/>
      <c r="N97" s="425" t="s">
        <v>95</v>
      </c>
      <c r="O97" s="255">
        <v>25</v>
      </c>
      <c r="P97" s="424">
        <v>25</v>
      </c>
      <c r="Q97" s="255">
        <v>0</v>
      </c>
    </row>
    <row r="98" spans="13:17">
      <c r="M98" s="616"/>
      <c r="N98" s="425" t="s">
        <v>102</v>
      </c>
      <c r="O98" s="255">
        <v>35</v>
      </c>
      <c r="P98" s="424">
        <v>35</v>
      </c>
      <c r="Q98" s="255">
        <v>0</v>
      </c>
    </row>
    <row r="99" spans="13:17">
      <c r="M99" s="616"/>
      <c r="N99" s="425" t="s">
        <v>100</v>
      </c>
      <c r="O99" s="255">
        <v>27</v>
      </c>
      <c r="P99" s="424">
        <v>27</v>
      </c>
      <c r="Q99" s="255">
        <v>0</v>
      </c>
    </row>
    <row r="100" spans="13:17">
      <c r="M100" s="616"/>
      <c r="N100" s="425" t="s">
        <v>299</v>
      </c>
      <c r="O100" s="255">
        <v>19</v>
      </c>
      <c r="P100" s="424">
        <v>19</v>
      </c>
      <c r="Q100" s="255">
        <v>0</v>
      </c>
    </row>
    <row r="101" spans="13:17">
      <c r="M101" s="424" t="s">
        <v>4</v>
      </c>
      <c r="N101" s="424"/>
      <c r="O101" s="430">
        <f>SUM(O57:O100)</f>
        <v>933</v>
      </c>
      <c r="P101" s="424">
        <f>SUM(P57:P100)</f>
        <v>535</v>
      </c>
      <c r="Q101" s="255">
        <f>SUM(Q57:Q100)</f>
        <v>398</v>
      </c>
    </row>
  </sheetData>
  <mergeCells count="156">
    <mergeCell ref="F48:G48"/>
    <mergeCell ref="I48:J48"/>
    <mergeCell ref="A5:A8"/>
    <mergeCell ref="A9:A12"/>
    <mergeCell ref="A13:A15"/>
    <mergeCell ref="A16:A18"/>
    <mergeCell ref="A19:A21"/>
    <mergeCell ref="A22:A24"/>
    <mergeCell ref="A25:A27"/>
    <mergeCell ref="A28:A31"/>
    <mergeCell ref="H28:H31"/>
    <mergeCell ref="I28:I31"/>
    <mergeCell ref="J28:J31"/>
    <mergeCell ref="H22:H24"/>
    <mergeCell ref="I22:I24"/>
    <mergeCell ref="A34:A40"/>
    <mergeCell ref="A41:A46"/>
    <mergeCell ref="G5:G8"/>
    <mergeCell ref="G9:G12"/>
    <mergeCell ref="G13:G15"/>
    <mergeCell ref="G16:G18"/>
    <mergeCell ref="G19:G21"/>
    <mergeCell ref="G22:G24"/>
    <mergeCell ref="G25:G27"/>
    <mergeCell ref="G34:G40"/>
    <mergeCell ref="G41:G46"/>
    <mergeCell ref="K28:K31"/>
    <mergeCell ref="L28:L31"/>
    <mergeCell ref="H25:H27"/>
    <mergeCell ref="I25:I27"/>
    <mergeCell ref="J25:J27"/>
    <mergeCell ref="K25:K27"/>
    <mergeCell ref="L25:L27"/>
    <mergeCell ref="I41:I46"/>
    <mergeCell ref="J41:J46"/>
    <mergeCell ref="L41:L46"/>
    <mergeCell ref="H34:H40"/>
    <mergeCell ref="I34:I40"/>
    <mergeCell ref="J34:J40"/>
    <mergeCell ref="K34:K40"/>
    <mergeCell ref="L34:L40"/>
    <mergeCell ref="K41:K46"/>
    <mergeCell ref="H41:H46"/>
    <mergeCell ref="J22:J24"/>
    <mergeCell ref="K22:K24"/>
    <mergeCell ref="L22:L24"/>
    <mergeCell ref="H19:H21"/>
    <mergeCell ref="I19:I21"/>
    <mergeCell ref="J19:J21"/>
    <mergeCell ref="K19:K21"/>
    <mergeCell ref="L19:L21"/>
    <mergeCell ref="G28:G31"/>
    <mergeCell ref="I13:I15"/>
    <mergeCell ref="J13:J15"/>
    <mergeCell ref="K13:K15"/>
    <mergeCell ref="L13:L15"/>
    <mergeCell ref="H9:H12"/>
    <mergeCell ref="H13:H15"/>
    <mergeCell ref="H16:H18"/>
    <mergeCell ref="I16:I18"/>
    <mergeCell ref="J16:J18"/>
    <mergeCell ref="K16:K18"/>
    <mergeCell ref="L16:L18"/>
    <mergeCell ref="Q1:AB1"/>
    <mergeCell ref="Q5:Q8"/>
    <mergeCell ref="W5:W8"/>
    <mergeCell ref="X5:X8"/>
    <mergeCell ref="Y5:Y8"/>
    <mergeCell ref="Z5:Z8"/>
    <mergeCell ref="AA5:AA8"/>
    <mergeCell ref="AB5:AB8"/>
    <mergeCell ref="L9:L12"/>
    <mergeCell ref="A1:L1"/>
    <mergeCell ref="AA9:AA12"/>
    <mergeCell ref="AB9:AB12"/>
    <mergeCell ref="J5:J8"/>
    <mergeCell ref="H5:H8"/>
    <mergeCell ref="I5:I8"/>
    <mergeCell ref="K5:K8"/>
    <mergeCell ref="L5:L8"/>
    <mergeCell ref="I9:I12"/>
    <mergeCell ref="J9:J12"/>
    <mergeCell ref="K9:K12"/>
    <mergeCell ref="Q13:Q15"/>
    <mergeCell ref="W13:W15"/>
    <mergeCell ref="X13:X15"/>
    <mergeCell ref="Y13:Y15"/>
    <mergeCell ref="Z13:Z15"/>
    <mergeCell ref="AA13:AA15"/>
    <mergeCell ref="AB13:AB15"/>
    <mergeCell ref="Q9:Q12"/>
    <mergeCell ref="W9:W12"/>
    <mergeCell ref="X9:X12"/>
    <mergeCell ref="Y9:Y12"/>
    <mergeCell ref="Z9:Z12"/>
    <mergeCell ref="AA16:AA18"/>
    <mergeCell ref="AB16:AB18"/>
    <mergeCell ref="Q19:Q21"/>
    <mergeCell ref="W19:W21"/>
    <mergeCell ref="X19:X21"/>
    <mergeCell ref="Y19:Y21"/>
    <mergeCell ref="Z19:Z21"/>
    <mergeCell ref="AA19:AA21"/>
    <mergeCell ref="AB19:AB21"/>
    <mergeCell ref="Q16:Q18"/>
    <mergeCell ref="W16:W18"/>
    <mergeCell ref="X16:X18"/>
    <mergeCell ref="Y16:Y18"/>
    <mergeCell ref="Z16:Z18"/>
    <mergeCell ref="AA22:AA24"/>
    <mergeCell ref="AB22:AB24"/>
    <mergeCell ref="Q25:Q27"/>
    <mergeCell ref="W25:W27"/>
    <mergeCell ref="X25:X27"/>
    <mergeCell ref="Y25:Y27"/>
    <mergeCell ref="Z25:Z27"/>
    <mergeCell ref="AA25:AA27"/>
    <mergeCell ref="AB25:AB27"/>
    <mergeCell ref="Q22:Q24"/>
    <mergeCell ref="W22:W24"/>
    <mergeCell ref="X22:X24"/>
    <mergeCell ref="Y22:Y24"/>
    <mergeCell ref="Z22:Z24"/>
    <mergeCell ref="AA28:AA31"/>
    <mergeCell ref="AB28:AB31"/>
    <mergeCell ref="Q34:Q40"/>
    <mergeCell ref="W34:W40"/>
    <mergeCell ref="X34:X40"/>
    <mergeCell ref="Y34:Y40"/>
    <mergeCell ref="Z34:Z40"/>
    <mergeCell ref="AA34:AA40"/>
    <mergeCell ref="AB34:AB40"/>
    <mergeCell ref="Q28:Q31"/>
    <mergeCell ref="W28:W31"/>
    <mergeCell ref="X28:X31"/>
    <mergeCell ref="Y28:Y31"/>
    <mergeCell ref="Z28:Z31"/>
    <mergeCell ref="AB41:AB46"/>
    <mergeCell ref="M59:M62"/>
    <mergeCell ref="M63:M66"/>
    <mergeCell ref="M67:M69"/>
    <mergeCell ref="Q41:Q46"/>
    <mergeCell ref="W41:W46"/>
    <mergeCell ref="X41:X46"/>
    <mergeCell ref="Y41:Y46"/>
    <mergeCell ref="Z41:Z46"/>
    <mergeCell ref="M88:M94"/>
    <mergeCell ref="M95:M100"/>
    <mergeCell ref="M54:Q55"/>
    <mergeCell ref="M70:M72"/>
    <mergeCell ref="M73:M75"/>
    <mergeCell ref="M76:M78"/>
    <mergeCell ref="M79:M81"/>
    <mergeCell ref="M82:M85"/>
    <mergeCell ref="AA41:AA46"/>
    <mergeCell ref="W48:X48"/>
  </mergeCells>
  <pageMargins left="0.47" right="0.15" top="0.5" bottom="0.54" header="0.15" footer="0.14000000000000001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W1" workbookViewId="0">
      <selection activeCell="AE1" sqref="AE1:AH1"/>
    </sheetView>
  </sheetViews>
  <sheetFormatPr defaultRowHeight="15"/>
  <cols>
    <col min="2" max="2" width="13.5703125" customWidth="1"/>
    <col min="11" max="11" width="10.28515625" customWidth="1"/>
    <col min="15" max="15" width="11.140625" customWidth="1"/>
    <col min="16" max="16" width="12.85546875" customWidth="1"/>
    <col min="25" max="25" width="10.85546875" customWidth="1"/>
    <col min="31" max="31" width="13.28515625" customWidth="1"/>
    <col min="32" max="32" width="13.140625" customWidth="1"/>
    <col min="35" max="35" width="9.28515625" bestFit="1" customWidth="1"/>
  </cols>
  <sheetData>
    <row r="1" spans="1:35" ht="28.5">
      <c r="A1" s="605" t="s">
        <v>336</v>
      </c>
      <c r="B1" s="605"/>
      <c r="C1" s="605"/>
      <c r="D1" s="605"/>
      <c r="E1" s="605"/>
      <c r="F1" s="605"/>
      <c r="G1" s="605"/>
      <c r="H1" s="605"/>
      <c r="I1" s="605"/>
      <c r="J1" s="605"/>
      <c r="K1" s="456">
        <v>45421</v>
      </c>
      <c r="L1" s="88" t="s">
        <v>385</v>
      </c>
      <c r="O1" s="605" t="s">
        <v>350</v>
      </c>
      <c r="P1" s="605"/>
      <c r="Q1" s="605"/>
      <c r="R1" s="605"/>
      <c r="S1" s="605"/>
      <c r="T1" s="605"/>
      <c r="U1" s="605"/>
      <c r="V1" s="605"/>
      <c r="W1" s="605"/>
      <c r="X1" s="605"/>
      <c r="Y1" s="456">
        <v>45421</v>
      </c>
      <c r="Z1" s="88" t="s">
        <v>385</v>
      </c>
      <c r="AA1" s="1"/>
      <c r="AE1" s="700" t="s">
        <v>286</v>
      </c>
      <c r="AF1" s="700"/>
      <c r="AG1" s="700"/>
      <c r="AH1" s="700"/>
      <c r="AI1" s="456">
        <v>45425</v>
      </c>
    </row>
    <row r="2" spans="1:35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384</v>
      </c>
      <c r="O2" s="100" t="s">
        <v>0</v>
      </c>
      <c r="P2" s="100" t="s">
        <v>140</v>
      </c>
      <c r="Q2" s="101" t="s">
        <v>130</v>
      </c>
      <c r="R2" s="101" t="s">
        <v>2</v>
      </c>
      <c r="S2" s="101" t="s">
        <v>3</v>
      </c>
      <c r="T2" s="102" t="s">
        <v>4</v>
      </c>
      <c r="U2" s="103" t="s">
        <v>5</v>
      </c>
      <c r="V2" s="103" t="s">
        <v>6</v>
      </c>
      <c r="W2" s="103" t="s">
        <v>7</v>
      </c>
      <c r="X2" s="101" t="s">
        <v>8</v>
      </c>
      <c r="Y2" s="104" t="s">
        <v>9</v>
      </c>
      <c r="Z2" s="103" t="s">
        <v>10</v>
      </c>
      <c r="AA2" s="105" t="s">
        <v>384</v>
      </c>
      <c r="AB2" s="465" t="s">
        <v>250</v>
      </c>
      <c r="AE2" s="100" t="s">
        <v>0</v>
      </c>
      <c r="AF2" s="100" t="s">
        <v>140</v>
      </c>
      <c r="AG2" s="105" t="s">
        <v>384</v>
      </c>
      <c r="AH2" s="448" t="s">
        <v>250</v>
      </c>
      <c r="AI2" s="448" t="s">
        <v>251</v>
      </c>
    </row>
    <row r="3" spans="1:35">
      <c r="A3" s="675" t="s">
        <v>342</v>
      </c>
      <c r="B3" s="451" t="s">
        <v>150</v>
      </c>
      <c r="C3" s="417">
        <v>1200</v>
      </c>
      <c r="D3" s="335">
        <v>0.95</v>
      </c>
      <c r="E3" s="448">
        <v>281</v>
      </c>
      <c r="F3" s="107">
        <f>C3*D3*E3</f>
        <v>320340</v>
      </c>
      <c r="G3" s="624">
        <v>986</v>
      </c>
      <c r="H3" s="675">
        <f>SUM(N3:N4)</f>
        <v>3058</v>
      </c>
      <c r="I3" s="590">
        <v>670</v>
      </c>
      <c r="J3" s="590">
        <f>G3/H3*SUM(C3:C4)*I3</f>
        <v>660620</v>
      </c>
      <c r="K3" s="582">
        <f>J3+SUM(F3:F4)</f>
        <v>1476953.1</v>
      </c>
      <c r="L3" s="582">
        <f>K3/SUM(C3:C4)</f>
        <v>482.98008502289082</v>
      </c>
      <c r="M3" s="255">
        <v>40</v>
      </c>
      <c r="N3" s="417">
        <v>1200</v>
      </c>
      <c r="O3" s="708" t="s">
        <v>342</v>
      </c>
      <c r="P3" s="451" t="s">
        <v>150</v>
      </c>
      <c r="Q3" s="451">
        <v>0</v>
      </c>
      <c r="R3" s="335">
        <v>0.95</v>
      </c>
      <c r="S3" s="448">
        <v>281</v>
      </c>
      <c r="T3" s="107">
        <f>Q3*R3*S3</f>
        <v>0</v>
      </c>
      <c r="U3" s="624">
        <v>986</v>
      </c>
      <c r="V3" s="675">
        <v>3058</v>
      </c>
      <c r="W3" s="590">
        <v>0</v>
      </c>
      <c r="X3" s="590">
        <v>0</v>
      </c>
      <c r="Y3" s="582">
        <f>X3+SUM(T3:T4)</f>
        <v>0</v>
      </c>
      <c r="Z3" s="582">
        <v>0</v>
      </c>
      <c r="AA3" s="255">
        <v>40</v>
      </c>
      <c r="AB3" s="465">
        <v>0</v>
      </c>
      <c r="AE3" s="701" t="s">
        <v>342</v>
      </c>
      <c r="AF3" s="457" t="s">
        <v>150</v>
      </c>
      <c r="AG3" s="458">
        <v>40</v>
      </c>
      <c r="AH3" s="462">
        <f t="shared" ref="AH3:AH27" si="0">Q3/30</f>
        <v>0</v>
      </c>
      <c r="AI3" s="463">
        <f>AG3-AH3</f>
        <v>40</v>
      </c>
    </row>
    <row r="4" spans="1:35">
      <c r="A4" s="675"/>
      <c r="B4" s="451" t="s">
        <v>298</v>
      </c>
      <c r="C4" s="417">
        <v>1858</v>
      </c>
      <c r="D4" s="335">
        <v>0.95</v>
      </c>
      <c r="E4" s="448">
        <v>281</v>
      </c>
      <c r="F4" s="107">
        <f t="shared" ref="F4:F26" si="1">C4*D4*E4</f>
        <v>495993.1</v>
      </c>
      <c r="G4" s="624"/>
      <c r="H4" s="675"/>
      <c r="I4" s="590"/>
      <c r="J4" s="590"/>
      <c r="K4" s="582"/>
      <c r="L4" s="582"/>
      <c r="M4" s="255">
        <v>62</v>
      </c>
      <c r="N4" s="417">
        <v>1858</v>
      </c>
      <c r="O4" s="708"/>
      <c r="P4" s="451" t="s">
        <v>298</v>
      </c>
      <c r="Q4" s="451">
        <v>0</v>
      </c>
      <c r="R4" s="335">
        <v>0.95</v>
      </c>
      <c r="S4" s="448">
        <v>281</v>
      </c>
      <c r="T4" s="107">
        <f t="shared" ref="T4:T26" si="2">Q4*R4*S4</f>
        <v>0</v>
      </c>
      <c r="U4" s="624"/>
      <c r="V4" s="675"/>
      <c r="W4" s="590"/>
      <c r="X4" s="590"/>
      <c r="Y4" s="582"/>
      <c r="Z4" s="582"/>
      <c r="AA4" s="255">
        <v>62</v>
      </c>
      <c r="AB4" s="465">
        <v>0</v>
      </c>
      <c r="AE4" s="702"/>
      <c r="AF4" s="457" t="s">
        <v>298</v>
      </c>
      <c r="AG4" s="458">
        <v>62</v>
      </c>
      <c r="AH4" s="462">
        <f t="shared" si="0"/>
        <v>0</v>
      </c>
      <c r="AI4" s="463">
        <f t="shared" ref="AI4:AI27" si="3">AG4-AH4</f>
        <v>62</v>
      </c>
    </row>
    <row r="5" spans="1:35">
      <c r="A5" s="449" t="s">
        <v>383</v>
      </c>
      <c r="B5" s="451" t="s">
        <v>101</v>
      </c>
      <c r="C5" s="417">
        <f>16*30</f>
        <v>480</v>
      </c>
      <c r="D5" s="335">
        <v>1.03</v>
      </c>
      <c r="E5" s="448">
        <v>281</v>
      </c>
      <c r="F5" s="107">
        <f t="shared" si="1"/>
        <v>138926.40000000002</v>
      </c>
      <c r="G5" s="449">
        <v>448</v>
      </c>
      <c r="H5" s="451">
        <v>960</v>
      </c>
      <c r="I5" s="448">
        <v>670</v>
      </c>
      <c r="J5" s="448">
        <f>G5/H5*SUM(C5:C5)*I5</f>
        <v>150080</v>
      </c>
      <c r="K5" s="447">
        <f>J5+SUM(F5:F5)</f>
        <v>289006.40000000002</v>
      </c>
      <c r="L5" s="447">
        <f>K5/SUM(C5:C5)</f>
        <v>602.09666666666669</v>
      </c>
      <c r="M5" s="255">
        <v>32</v>
      </c>
      <c r="N5" s="417">
        <v>960</v>
      </c>
      <c r="O5" s="449" t="s">
        <v>383</v>
      </c>
      <c r="P5" s="451" t="s">
        <v>101</v>
      </c>
      <c r="Q5" s="451">
        <v>480</v>
      </c>
      <c r="R5" s="335">
        <v>1.03</v>
      </c>
      <c r="S5" s="448">
        <v>281</v>
      </c>
      <c r="T5" s="107">
        <f t="shared" si="2"/>
        <v>138926.40000000002</v>
      </c>
      <c r="U5" s="449">
        <v>448</v>
      </c>
      <c r="V5" s="451">
        <v>960</v>
      </c>
      <c r="W5" s="448">
        <v>670</v>
      </c>
      <c r="X5" s="448">
        <f>U5/V5*SUM(Q5:Q5)*W5</f>
        <v>150080</v>
      </c>
      <c r="Y5" s="447">
        <f>X5+SUM(T5:T5)</f>
        <v>289006.40000000002</v>
      </c>
      <c r="Z5" s="447">
        <f>Y5/SUM(Q5:Q5)</f>
        <v>602.09666666666669</v>
      </c>
      <c r="AA5" s="255">
        <v>32</v>
      </c>
      <c r="AB5" s="465">
        <v>16</v>
      </c>
      <c r="AE5" s="457" t="s">
        <v>383</v>
      </c>
      <c r="AF5" s="457" t="s">
        <v>101</v>
      </c>
      <c r="AG5" s="458">
        <v>32</v>
      </c>
      <c r="AH5" s="462">
        <f t="shared" si="0"/>
        <v>16</v>
      </c>
      <c r="AI5" s="463">
        <f t="shared" si="3"/>
        <v>16</v>
      </c>
    </row>
    <row r="6" spans="1:35">
      <c r="A6" s="675" t="s">
        <v>238</v>
      </c>
      <c r="B6" s="451" t="s">
        <v>101</v>
      </c>
      <c r="C6" s="417">
        <f>15*30</f>
        <v>450</v>
      </c>
      <c r="D6" s="335">
        <v>1.1000000000000001</v>
      </c>
      <c r="E6" s="448">
        <v>281</v>
      </c>
      <c r="F6" s="107">
        <f t="shared" si="1"/>
        <v>139095.00000000003</v>
      </c>
      <c r="G6" s="624">
        <v>4395</v>
      </c>
      <c r="H6" s="675">
        <f>SUM(N6:N13)</f>
        <v>9453</v>
      </c>
      <c r="I6" s="590">
        <v>670</v>
      </c>
      <c r="J6" s="590">
        <f>G6/H6*SUM(C6:C13)*I6</f>
        <v>1477464.8206918437</v>
      </c>
      <c r="K6" s="582">
        <f>J6+SUM(F6:F13)</f>
        <v>2943526.1206918438</v>
      </c>
      <c r="L6" s="582">
        <f>K6/SUM(C6:C13)</f>
        <v>620.60428435417327</v>
      </c>
      <c r="M6" s="255">
        <v>30</v>
      </c>
      <c r="N6" s="417">
        <v>900</v>
      </c>
      <c r="O6" s="708" t="s">
        <v>238</v>
      </c>
      <c r="P6" s="451" t="s">
        <v>101</v>
      </c>
      <c r="Q6" s="453">
        <v>450</v>
      </c>
      <c r="R6" s="335">
        <v>1.1000000000000001</v>
      </c>
      <c r="S6" s="448">
        <v>281</v>
      </c>
      <c r="T6" s="107">
        <f t="shared" si="2"/>
        <v>139095.00000000003</v>
      </c>
      <c r="U6" s="624">
        <v>4395</v>
      </c>
      <c r="V6" s="675">
        <v>9453</v>
      </c>
      <c r="W6" s="590">
        <v>670</v>
      </c>
      <c r="X6" s="590">
        <f>U6/V6*SUM(Q6:Q13)*W6</f>
        <v>1467496.6835925104</v>
      </c>
      <c r="Y6" s="582">
        <f>X6+SUM(T6:T13)</f>
        <v>2923666.783592511</v>
      </c>
      <c r="Z6" s="582">
        <f>Y6/SUM(Q6:Q13)</f>
        <v>620.60428435417339</v>
      </c>
      <c r="AA6" s="255">
        <v>30</v>
      </c>
      <c r="AB6" s="465">
        <v>15</v>
      </c>
      <c r="AE6" s="701" t="s">
        <v>238</v>
      </c>
      <c r="AF6" s="457" t="s">
        <v>101</v>
      </c>
      <c r="AG6" s="458">
        <v>30</v>
      </c>
      <c r="AH6" s="462">
        <f t="shared" si="0"/>
        <v>15</v>
      </c>
      <c r="AI6" s="463">
        <f t="shared" si="3"/>
        <v>15</v>
      </c>
    </row>
    <row r="7" spans="1:35">
      <c r="A7" s="675"/>
      <c r="B7" s="363" t="s">
        <v>359</v>
      </c>
      <c r="C7" s="417">
        <f>28*30+28</f>
        <v>868</v>
      </c>
      <c r="D7" s="335">
        <v>1.1000000000000001</v>
      </c>
      <c r="E7" s="448">
        <v>281</v>
      </c>
      <c r="F7" s="107">
        <f t="shared" si="1"/>
        <v>268298.80000000005</v>
      </c>
      <c r="G7" s="624"/>
      <c r="H7" s="675"/>
      <c r="I7" s="590"/>
      <c r="J7" s="590"/>
      <c r="K7" s="582"/>
      <c r="L7" s="582"/>
      <c r="M7" s="255">
        <v>58</v>
      </c>
      <c r="N7" s="417">
        <v>1738</v>
      </c>
      <c r="O7" s="708"/>
      <c r="P7" s="451" t="s">
        <v>359</v>
      </c>
      <c r="Q7" s="453">
        <v>870</v>
      </c>
      <c r="R7" s="335">
        <v>1.1000000000000001</v>
      </c>
      <c r="S7" s="448">
        <v>281</v>
      </c>
      <c r="T7" s="107">
        <f t="shared" si="2"/>
        <v>268917.00000000006</v>
      </c>
      <c r="U7" s="624"/>
      <c r="V7" s="675"/>
      <c r="W7" s="590"/>
      <c r="X7" s="590"/>
      <c r="Y7" s="582"/>
      <c r="Z7" s="582"/>
      <c r="AA7" s="255">
        <v>58</v>
      </c>
      <c r="AB7" s="465">
        <v>29</v>
      </c>
      <c r="AE7" s="703"/>
      <c r="AF7" s="457" t="s">
        <v>359</v>
      </c>
      <c r="AG7" s="458">
        <v>58</v>
      </c>
      <c r="AH7" s="462">
        <f t="shared" si="0"/>
        <v>29</v>
      </c>
      <c r="AI7" s="463">
        <f t="shared" si="3"/>
        <v>29</v>
      </c>
    </row>
    <row r="8" spans="1:35">
      <c r="A8" s="675"/>
      <c r="B8" s="451" t="s">
        <v>245</v>
      </c>
      <c r="C8" s="417">
        <f>15*30</f>
        <v>450</v>
      </c>
      <c r="D8" s="335">
        <v>1.1000000000000001</v>
      </c>
      <c r="E8" s="448">
        <v>281</v>
      </c>
      <c r="F8" s="107">
        <f t="shared" si="1"/>
        <v>139095.00000000003</v>
      </c>
      <c r="G8" s="624"/>
      <c r="H8" s="675"/>
      <c r="I8" s="590"/>
      <c r="J8" s="590"/>
      <c r="K8" s="582"/>
      <c r="L8" s="582"/>
      <c r="M8" s="255">
        <v>30</v>
      </c>
      <c r="N8" s="417">
        <v>900</v>
      </c>
      <c r="O8" s="708"/>
      <c r="P8" s="451" t="s">
        <v>245</v>
      </c>
      <c r="Q8" s="453">
        <v>450</v>
      </c>
      <c r="R8" s="335">
        <v>1.1000000000000001</v>
      </c>
      <c r="S8" s="448">
        <v>281</v>
      </c>
      <c r="T8" s="107">
        <f t="shared" si="2"/>
        <v>139095.00000000003</v>
      </c>
      <c r="U8" s="624"/>
      <c r="V8" s="675"/>
      <c r="W8" s="590"/>
      <c r="X8" s="590"/>
      <c r="Y8" s="582"/>
      <c r="Z8" s="582"/>
      <c r="AA8" s="255">
        <v>30</v>
      </c>
      <c r="AB8" s="465">
        <v>15</v>
      </c>
      <c r="AE8" s="703"/>
      <c r="AF8" s="457" t="s">
        <v>245</v>
      </c>
      <c r="AG8" s="458">
        <v>30</v>
      </c>
      <c r="AH8" s="462">
        <f t="shared" si="0"/>
        <v>15</v>
      </c>
      <c r="AI8" s="463">
        <f t="shared" si="3"/>
        <v>15</v>
      </c>
    </row>
    <row r="9" spans="1:35">
      <c r="A9" s="675"/>
      <c r="B9" s="451" t="s">
        <v>328</v>
      </c>
      <c r="C9" s="417">
        <f>25*30+31+29+23+31</f>
        <v>864</v>
      </c>
      <c r="D9" s="335">
        <v>1.1000000000000001</v>
      </c>
      <c r="E9" s="448">
        <v>281</v>
      </c>
      <c r="F9" s="107">
        <f t="shared" si="1"/>
        <v>267062.40000000002</v>
      </c>
      <c r="G9" s="624"/>
      <c r="H9" s="675"/>
      <c r="I9" s="590"/>
      <c r="J9" s="590"/>
      <c r="K9" s="582"/>
      <c r="L9" s="582"/>
      <c r="M9" s="255">
        <v>58</v>
      </c>
      <c r="N9" s="417">
        <v>1734</v>
      </c>
      <c r="O9" s="708"/>
      <c r="P9" s="451" t="s">
        <v>328</v>
      </c>
      <c r="Q9" s="453">
        <v>870</v>
      </c>
      <c r="R9" s="335">
        <v>1.1000000000000001</v>
      </c>
      <c r="S9" s="448">
        <v>281</v>
      </c>
      <c r="T9" s="107">
        <f t="shared" si="2"/>
        <v>268917.00000000006</v>
      </c>
      <c r="U9" s="624"/>
      <c r="V9" s="675"/>
      <c r="W9" s="590"/>
      <c r="X9" s="590"/>
      <c r="Y9" s="582"/>
      <c r="Z9" s="582"/>
      <c r="AA9" s="255">
        <v>58</v>
      </c>
      <c r="AB9" s="465">
        <v>29</v>
      </c>
      <c r="AE9" s="703"/>
      <c r="AF9" s="457" t="s">
        <v>328</v>
      </c>
      <c r="AG9" s="458">
        <v>58</v>
      </c>
      <c r="AH9" s="462">
        <f t="shared" si="0"/>
        <v>29</v>
      </c>
      <c r="AI9" s="463">
        <f t="shared" si="3"/>
        <v>29</v>
      </c>
    </row>
    <row r="10" spans="1:35" ht="15" customHeight="1">
      <c r="A10" s="675"/>
      <c r="B10" s="451" t="s">
        <v>95</v>
      </c>
      <c r="C10" s="417">
        <f>25*30+39</f>
        <v>789</v>
      </c>
      <c r="D10" s="335">
        <v>1.1000000000000001</v>
      </c>
      <c r="E10" s="448">
        <v>281</v>
      </c>
      <c r="F10" s="107">
        <f t="shared" si="1"/>
        <v>243879.90000000002</v>
      </c>
      <c r="G10" s="624"/>
      <c r="H10" s="675"/>
      <c r="I10" s="590"/>
      <c r="J10" s="590"/>
      <c r="K10" s="582"/>
      <c r="L10" s="582"/>
      <c r="M10" s="255">
        <v>51</v>
      </c>
      <c r="N10" s="417">
        <v>1539</v>
      </c>
      <c r="O10" s="708"/>
      <c r="P10" s="451" t="s">
        <v>95</v>
      </c>
      <c r="Q10" s="453">
        <v>750</v>
      </c>
      <c r="R10" s="335">
        <v>1.1000000000000001</v>
      </c>
      <c r="S10" s="448">
        <v>281</v>
      </c>
      <c r="T10" s="107">
        <f t="shared" si="2"/>
        <v>231825.00000000003</v>
      </c>
      <c r="U10" s="624"/>
      <c r="V10" s="675"/>
      <c r="W10" s="590"/>
      <c r="X10" s="590"/>
      <c r="Y10" s="582"/>
      <c r="Z10" s="582"/>
      <c r="AA10" s="255">
        <v>51</v>
      </c>
      <c r="AB10" s="465">
        <v>25</v>
      </c>
      <c r="AE10" s="703"/>
      <c r="AF10" s="457" t="s">
        <v>95</v>
      </c>
      <c r="AG10" s="458">
        <v>51</v>
      </c>
      <c r="AH10" s="462">
        <f t="shared" si="0"/>
        <v>25</v>
      </c>
      <c r="AI10" s="463">
        <f t="shared" si="3"/>
        <v>26</v>
      </c>
    </row>
    <row r="11" spans="1:35">
      <c r="A11" s="675"/>
      <c r="B11" s="451" t="s">
        <v>114</v>
      </c>
      <c r="C11" s="417">
        <f>23*30+47</f>
        <v>737</v>
      </c>
      <c r="D11" s="335">
        <v>1.1000000000000001</v>
      </c>
      <c r="E11" s="448">
        <v>281</v>
      </c>
      <c r="F11" s="107">
        <f t="shared" si="1"/>
        <v>227806.7</v>
      </c>
      <c r="G11" s="624"/>
      <c r="H11" s="675"/>
      <c r="I11" s="590"/>
      <c r="J11" s="590"/>
      <c r="K11" s="582"/>
      <c r="L11" s="582"/>
      <c r="M11" s="255">
        <v>49</v>
      </c>
      <c r="N11" s="417">
        <v>1487</v>
      </c>
      <c r="O11" s="708"/>
      <c r="P11" s="451" t="s">
        <v>114</v>
      </c>
      <c r="Q11" s="453">
        <v>750</v>
      </c>
      <c r="R11" s="335">
        <v>1.1000000000000001</v>
      </c>
      <c r="S11" s="448">
        <v>281</v>
      </c>
      <c r="T11" s="107">
        <f t="shared" si="2"/>
        <v>231825.00000000003</v>
      </c>
      <c r="U11" s="624"/>
      <c r="V11" s="675"/>
      <c r="W11" s="590"/>
      <c r="X11" s="590"/>
      <c r="Y11" s="582"/>
      <c r="Z11" s="582"/>
      <c r="AA11" s="255">
        <v>49</v>
      </c>
      <c r="AB11" s="465">
        <v>25</v>
      </c>
      <c r="AE11" s="703"/>
      <c r="AF11" s="457" t="s">
        <v>114</v>
      </c>
      <c r="AG11" s="458">
        <v>49</v>
      </c>
      <c r="AH11" s="462">
        <f t="shared" si="0"/>
        <v>25</v>
      </c>
      <c r="AI11" s="463">
        <f t="shared" si="3"/>
        <v>24</v>
      </c>
    </row>
    <row r="12" spans="1:35">
      <c r="A12" s="675"/>
      <c r="B12" s="451" t="s">
        <v>285</v>
      </c>
      <c r="C12" s="417">
        <f>8*30+31</f>
        <v>271</v>
      </c>
      <c r="D12" s="335">
        <v>1.1000000000000001</v>
      </c>
      <c r="E12" s="448">
        <v>281</v>
      </c>
      <c r="F12" s="107">
        <f t="shared" si="1"/>
        <v>83766.100000000006</v>
      </c>
      <c r="G12" s="624"/>
      <c r="H12" s="675"/>
      <c r="I12" s="590"/>
      <c r="J12" s="590"/>
      <c r="K12" s="582"/>
      <c r="L12" s="582"/>
      <c r="M12" s="255">
        <v>18</v>
      </c>
      <c r="N12" s="417">
        <v>541</v>
      </c>
      <c r="O12" s="708"/>
      <c r="P12" s="451" t="s">
        <v>285</v>
      </c>
      <c r="Q12" s="453">
        <v>271</v>
      </c>
      <c r="R12" s="335">
        <v>1.1000000000000001</v>
      </c>
      <c r="S12" s="448">
        <v>281</v>
      </c>
      <c r="T12" s="107">
        <f t="shared" si="2"/>
        <v>83766.100000000006</v>
      </c>
      <c r="U12" s="624"/>
      <c r="V12" s="675"/>
      <c r="W12" s="590"/>
      <c r="X12" s="590"/>
      <c r="Y12" s="582"/>
      <c r="Z12" s="582"/>
      <c r="AA12" s="255">
        <v>18</v>
      </c>
      <c r="AB12" s="465">
        <v>9</v>
      </c>
      <c r="AE12" s="703"/>
      <c r="AF12" s="457" t="s">
        <v>285</v>
      </c>
      <c r="AG12" s="458">
        <v>18</v>
      </c>
      <c r="AH12" s="462">
        <f t="shared" si="0"/>
        <v>9.0333333333333332</v>
      </c>
      <c r="AI12" s="463">
        <f t="shared" si="3"/>
        <v>8.9666666666666668</v>
      </c>
    </row>
    <row r="13" spans="1:35">
      <c r="A13" s="675"/>
      <c r="B13" s="363" t="s">
        <v>100</v>
      </c>
      <c r="C13" s="417">
        <f>8*30+28+46</f>
        <v>314</v>
      </c>
      <c r="D13" s="335">
        <v>1.1000000000000001</v>
      </c>
      <c r="E13" s="448">
        <v>281</v>
      </c>
      <c r="F13" s="107">
        <f t="shared" si="1"/>
        <v>97057.400000000009</v>
      </c>
      <c r="G13" s="624"/>
      <c r="H13" s="675"/>
      <c r="I13" s="590"/>
      <c r="J13" s="590"/>
      <c r="K13" s="582"/>
      <c r="L13" s="582"/>
      <c r="M13" s="255">
        <v>20</v>
      </c>
      <c r="N13" s="417">
        <v>614</v>
      </c>
      <c r="O13" s="708"/>
      <c r="P13" s="451" t="s">
        <v>100</v>
      </c>
      <c r="Q13" s="453">
        <v>300</v>
      </c>
      <c r="R13" s="335">
        <v>1.1000000000000001</v>
      </c>
      <c r="S13" s="448">
        <v>281</v>
      </c>
      <c r="T13" s="107">
        <f t="shared" si="2"/>
        <v>92730</v>
      </c>
      <c r="U13" s="624"/>
      <c r="V13" s="675"/>
      <c r="W13" s="590"/>
      <c r="X13" s="590"/>
      <c r="Y13" s="582"/>
      <c r="Z13" s="582"/>
      <c r="AA13" s="255">
        <v>20</v>
      </c>
      <c r="AB13" s="465">
        <v>10</v>
      </c>
      <c r="AE13" s="702"/>
      <c r="AF13" s="457" t="s">
        <v>100</v>
      </c>
      <c r="AG13" s="458">
        <v>20</v>
      </c>
      <c r="AH13" s="462">
        <f t="shared" si="0"/>
        <v>10</v>
      </c>
      <c r="AI13" s="463">
        <f t="shared" si="3"/>
        <v>10</v>
      </c>
    </row>
    <row r="14" spans="1:35" ht="15" customHeight="1">
      <c r="A14" s="688" t="s">
        <v>376</v>
      </c>
      <c r="B14" s="455" t="s">
        <v>272</v>
      </c>
      <c r="C14" s="361">
        <v>180</v>
      </c>
      <c r="D14" s="452">
        <v>1.72</v>
      </c>
      <c r="E14" s="448">
        <v>281</v>
      </c>
      <c r="F14" s="107">
        <f t="shared" si="1"/>
        <v>86997.6</v>
      </c>
      <c r="G14" s="640">
        <v>816</v>
      </c>
      <c r="H14" s="688">
        <f>SUM(N14:N17)</f>
        <v>1348</v>
      </c>
      <c r="I14" s="590">
        <v>670</v>
      </c>
      <c r="J14" s="590">
        <f>G14/H14*SUM(C14:C17)*I14</f>
        <v>243347.18100890209</v>
      </c>
      <c r="K14" s="582">
        <f>J14+SUM(F14:F17)</f>
        <v>540926.18100890215</v>
      </c>
      <c r="L14" s="582">
        <f>K14/SUM(C14:C17)</f>
        <v>901.54363501483692</v>
      </c>
      <c r="M14" s="255">
        <v>13</v>
      </c>
      <c r="N14" s="361">
        <v>390</v>
      </c>
      <c r="O14" s="707" t="s">
        <v>376</v>
      </c>
      <c r="P14" s="452" t="s">
        <v>272</v>
      </c>
      <c r="Q14" s="453">
        <v>210</v>
      </c>
      <c r="R14" s="452">
        <v>1.72</v>
      </c>
      <c r="S14" s="448">
        <v>281</v>
      </c>
      <c r="T14" s="107">
        <f t="shared" si="2"/>
        <v>101497.2</v>
      </c>
      <c r="U14" s="640">
        <v>816</v>
      </c>
      <c r="V14" s="688">
        <v>1348</v>
      </c>
      <c r="W14" s="590">
        <v>670</v>
      </c>
      <c r="X14" s="590">
        <f>U14/V14*SUM(Q14:Q17)*W14</f>
        <v>303372.81899109797</v>
      </c>
      <c r="Y14" s="582">
        <f>X14+SUM(T14:T17)</f>
        <v>674056.77899109793</v>
      </c>
      <c r="Z14" s="582">
        <f>Y14/SUM(Q14:Q17)</f>
        <v>901.1454264586871</v>
      </c>
      <c r="AA14" s="255">
        <v>13</v>
      </c>
      <c r="AB14" s="465">
        <v>7</v>
      </c>
      <c r="AE14" s="704" t="s">
        <v>376</v>
      </c>
      <c r="AF14" s="459" t="s">
        <v>272</v>
      </c>
      <c r="AG14" s="458">
        <v>13</v>
      </c>
      <c r="AH14" s="462">
        <f t="shared" si="0"/>
        <v>7</v>
      </c>
      <c r="AI14" s="463">
        <f t="shared" si="3"/>
        <v>6</v>
      </c>
    </row>
    <row r="15" spans="1:35">
      <c r="A15" s="688"/>
      <c r="B15" s="455" t="s">
        <v>96</v>
      </c>
      <c r="C15" s="361">
        <v>150</v>
      </c>
      <c r="D15" s="452">
        <v>1.72</v>
      </c>
      <c r="E15" s="448">
        <v>281</v>
      </c>
      <c r="F15" s="107">
        <f t="shared" si="1"/>
        <v>72498</v>
      </c>
      <c r="G15" s="640"/>
      <c r="H15" s="688"/>
      <c r="I15" s="590"/>
      <c r="J15" s="590"/>
      <c r="K15" s="582"/>
      <c r="L15" s="582"/>
      <c r="M15" s="255">
        <v>12</v>
      </c>
      <c r="N15" s="361">
        <v>362</v>
      </c>
      <c r="O15" s="707"/>
      <c r="P15" s="452" t="s">
        <v>96</v>
      </c>
      <c r="Q15" s="453">
        <v>212</v>
      </c>
      <c r="R15" s="452">
        <v>1.72</v>
      </c>
      <c r="S15" s="448">
        <v>281</v>
      </c>
      <c r="T15" s="107">
        <f t="shared" si="2"/>
        <v>102463.84</v>
      </c>
      <c r="U15" s="640"/>
      <c r="V15" s="688"/>
      <c r="W15" s="590"/>
      <c r="X15" s="590"/>
      <c r="Y15" s="582"/>
      <c r="Z15" s="582"/>
      <c r="AA15" s="255">
        <v>12</v>
      </c>
      <c r="AB15" s="465">
        <v>7</v>
      </c>
      <c r="AE15" s="705"/>
      <c r="AF15" s="459" t="s">
        <v>96</v>
      </c>
      <c r="AG15" s="458">
        <v>12</v>
      </c>
      <c r="AH15" s="462">
        <f t="shared" si="0"/>
        <v>7.0666666666666664</v>
      </c>
      <c r="AI15" s="463">
        <f t="shared" si="3"/>
        <v>4.9333333333333336</v>
      </c>
    </row>
    <row r="16" spans="1:35">
      <c r="A16" s="688"/>
      <c r="B16" s="363" t="s">
        <v>95</v>
      </c>
      <c r="C16" s="417">
        <v>180</v>
      </c>
      <c r="D16" s="335">
        <v>1.82</v>
      </c>
      <c r="E16" s="448">
        <v>281</v>
      </c>
      <c r="F16" s="107">
        <f t="shared" si="1"/>
        <v>92055.6</v>
      </c>
      <c r="G16" s="640"/>
      <c r="H16" s="688"/>
      <c r="I16" s="590"/>
      <c r="J16" s="590"/>
      <c r="K16" s="582"/>
      <c r="L16" s="582"/>
      <c r="M16" s="255">
        <v>13</v>
      </c>
      <c r="N16" s="417">
        <v>390</v>
      </c>
      <c r="O16" s="707"/>
      <c r="P16" s="451" t="s">
        <v>95</v>
      </c>
      <c r="Q16" s="453">
        <v>210</v>
      </c>
      <c r="R16" s="335">
        <v>1.82</v>
      </c>
      <c r="S16" s="448">
        <v>281</v>
      </c>
      <c r="T16" s="107">
        <f t="shared" si="2"/>
        <v>107398.2</v>
      </c>
      <c r="U16" s="640"/>
      <c r="V16" s="688"/>
      <c r="W16" s="590"/>
      <c r="X16" s="590"/>
      <c r="Y16" s="582"/>
      <c r="Z16" s="582"/>
      <c r="AA16" s="255">
        <v>13</v>
      </c>
      <c r="AB16" s="465">
        <v>7</v>
      </c>
      <c r="AE16" s="705"/>
      <c r="AF16" s="457" t="s">
        <v>95</v>
      </c>
      <c r="AG16" s="458">
        <v>13</v>
      </c>
      <c r="AH16" s="462">
        <f t="shared" si="0"/>
        <v>7</v>
      </c>
      <c r="AI16" s="463">
        <f t="shared" si="3"/>
        <v>6</v>
      </c>
    </row>
    <row r="17" spans="1:35" ht="15" customHeight="1">
      <c r="A17" s="688"/>
      <c r="B17" s="455" t="s">
        <v>102</v>
      </c>
      <c r="C17" s="361">
        <v>90</v>
      </c>
      <c r="D17" s="452">
        <v>1.82</v>
      </c>
      <c r="E17" s="448">
        <v>281</v>
      </c>
      <c r="F17" s="107">
        <f t="shared" si="1"/>
        <v>46027.8</v>
      </c>
      <c r="G17" s="640"/>
      <c r="H17" s="688"/>
      <c r="I17" s="590"/>
      <c r="J17" s="590"/>
      <c r="K17" s="582"/>
      <c r="L17" s="582"/>
      <c r="M17" s="255">
        <v>7</v>
      </c>
      <c r="N17" s="361">
        <v>206</v>
      </c>
      <c r="O17" s="707"/>
      <c r="P17" s="452" t="s">
        <v>102</v>
      </c>
      <c r="Q17" s="453">
        <v>116</v>
      </c>
      <c r="R17" s="452">
        <v>1.82</v>
      </c>
      <c r="S17" s="448">
        <v>281</v>
      </c>
      <c r="T17" s="107">
        <f t="shared" si="2"/>
        <v>59324.72</v>
      </c>
      <c r="U17" s="640"/>
      <c r="V17" s="688"/>
      <c r="W17" s="590"/>
      <c r="X17" s="590"/>
      <c r="Y17" s="582"/>
      <c r="Z17" s="582"/>
      <c r="AA17" s="255">
        <v>7</v>
      </c>
      <c r="AB17" s="465">
        <v>4</v>
      </c>
      <c r="AE17" s="706"/>
      <c r="AF17" s="459" t="s">
        <v>102</v>
      </c>
      <c r="AG17" s="458">
        <v>7</v>
      </c>
      <c r="AH17" s="462">
        <f t="shared" si="0"/>
        <v>3.8666666666666667</v>
      </c>
      <c r="AI17" s="463">
        <f t="shared" si="3"/>
        <v>3.1333333333333333</v>
      </c>
    </row>
    <row r="18" spans="1:35" ht="25.5">
      <c r="A18" s="688" t="s">
        <v>295</v>
      </c>
      <c r="B18" s="363" t="s">
        <v>377</v>
      </c>
      <c r="C18" s="417">
        <f>24*30</f>
        <v>720</v>
      </c>
      <c r="D18" s="335">
        <v>1.03</v>
      </c>
      <c r="E18" s="448">
        <v>281</v>
      </c>
      <c r="F18" s="107">
        <f t="shared" si="1"/>
        <v>208389.6</v>
      </c>
      <c r="G18" s="640">
        <v>1440</v>
      </c>
      <c r="H18" s="688">
        <f>SUM(N18:N21)</f>
        <v>4088</v>
      </c>
      <c r="I18" s="590">
        <v>670</v>
      </c>
      <c r="J18" s="590">
        <f>G18/H18*SUM(C18:C21)*I18</f>
        <v>452190.99804305279</v>
      </c>
      <c r="K18" s="582">
        <f>J18+SUM(F18:F21)</f>
        <v>999994.87804305274</v>
      </c>
      <c r="L18" s="582">
        <f>K18/SUM(C18:C21)</f>
        <v>521.91799480326347</v>
      </c>
      <c r="M18" s="255">
        <v>50</v>
      </c>
      <c r="N18" s="417">
        <v>1500</v>
      </c>
      <c r="O18" s="707" t="s">
        <v>295</v>
      </c>
      <c r="P18" s="363" t="s">
        <v>377</v>
      </c>
      <c r="Q18" s="453">
        <v>780</v>
      </c>
      <c r="R18" s="335">
        <v>1.03</v>
      </c>
      <c r="S18" s="448">
        <v>281</v>
      </c>
      <c r="T18" s="107">
        <f t="shared" si="2"/>
        <v>225755.4</v>
      </c>
      <c r="U18" s="640">
        <v>1440</v>
      </c>
      <c r="V18" s="688">
        <v>4088</v>
      </c>
      <c r="W18" s="590">
        <v>670</v>
      </c>
      <c r="X18" s="590">
        <f>U18/V18*SUM(Q18:Q21)*W18</f>
        <v>512609.00195694715</v>
      </c>
      <c r="Y18" s="582">
        <f>X18+SUM(T18:T21)</f>
        <v>1133495.3619569473</v>
      </c>
      <c r="Z18" s="582">
        <f>Y18/SUM(Q18:Q21)</f>
        <v>521.86710955660556</v>
      </c>
      <c r="AA18" s="255">
        <v>50</v>
      </c>
      <c r="AB18" s="465">
        <v>26</v>
      </c>
      <c r="AE18" s="704" t="s">
        <v>295</v>
      </c>
      <c r="AF18" s="460" t="s">
        <v>377</v>
      </c>
      <c r="AG18" s="458">
        <v>50</v>
      </c>
      <c r="AH18" s="462">
        <f t="shared" si="0"/>
        <v>26</v>
      </c>
      <c r="AI18" s="463">
        <f t="shared" si="3"/>
        <v>24</v>
      </c>
    </row>
    <row r="19" spans="1:35" ht="25.5">
      <c r="A19" s="688"/>
      <c r="B19" s="363" t="s">
        <v>378</v>
      </c>
      <c r="C19" s="417">
        <f>11*30+56</f>
        <v>386</v>
      </c>
      <c r="D19" s="335">
        <v>1.03</v>
      </c>
      <c r="E19" s="448">
        <v>281</v>
      </c>
      <c r="F19" s="107">
        <f t="shared" si="1"/>
        <v>111719.98</v>
      </c>
      <c r="G19" s="640"/>
      <c r="H19" s="688"/>
      <c r="I19" s="590"/>
      <c r="J19" s="590"/>
      <c r="K19" s="582"/>
      <c r="L19" s="582"/>
      <c r="M19" s="255">
        <v>27</v>
      </c>
      <c r="N19" s="417">
        <v>836</v>
      </c>
      <c r="O19" s="707"/>
      <c r="P19" s="363" t="s">
        <v>378</v>
      </c>
      <c r="Q19" s="466">
        <v>450</v>
      </c>
      <c r="R19" s="335">
        <v>1.03</v>
      </c>
      <c r="S19" s="448">
        <v>281</v>
      </c>
      <c r="T19" s="107">
        <f t="shared" si="2"/>
        <v>130243.5</v>
      </c>
      <c r="U19" s="640"/>
      <c r="V19" s="688"/>
      <c r="W19" s="590"/>
      <c r="X19" s="590"/>
      <c r="Y19" s="582"/>
      <c r="Z19" s="582"/>
      <c r="AA19" s="255">
        <v>27</v>
      </c>
      <c r="AB19" s="465">
        <v>15</v>
      </c>
      <c r="AE19" s="705"/>
      <c r="AF19" s="460" t="s">
        <v>378</v>
      </c>
      <c r="AG19" s="458">
        <v>27</v>
      </c>
      <c r="AH19" s="462">
        <f t="shared" si="0"/>
        <v>15</v>
      </c>
      <c r="AI19" s="463">
        <f t="shared" si="3"/>
        <v>12</v>
      </c>
    </row>
    <row r="20" spans="1:35" ht="15" customHeight="1">
      <c r="A20" s="688"/>
      <c r="B20" s="454" t="s">
        <v>330</v>
      </c>
      <c r="C20" s="417">
        <v>330</v>
      </c>
      <c r="D20" s="335">
        <v>1.03</v>
      </c>
      <c r="E20" s="448">
        <v>281</v>
      </c>
      <c r="F20" s="107">
        <f t="shared" si="1"/>
        <v>95511.900000000009</v>
      </c>
      <c r="G20" s="640"/>
      <c r="H20" s="688"/>
      <c r="I20" s="590"/>
      <c r="J20" s="590"/>
      <c r="K20" s="582"/>
      <c r="L20" s="582"/>
      <c r="M20" s="255">
        <v>24</v>
      </c>
      <c r="N20" s="417">
        <v>720</v>
      </c>
      <c r="O20" s="707"/>
      <c r="P20" s="454" t="s">
        <v>330</v>
      </c>
      <c r="Q20" s="453">
        <v>390</v>
      </c>
      <c r="R20" s="335">
        <v>1.03</v>
      </c>
      <c r="S20" s="448">
        <v>281</v>
      </c>
      <c r="T20" s="107">
        <f t="shared" si="2"/>
        <v>112877.7</v>
      </c>
      <c r="U20" s="640"/>
      <c r="V20" s="688"/>
      <c r="W20" s="590"/>
      <c r="X20" s="590"/>
      <c r="Y20" s="582"/>
      <c r="Z20" s="582"/>
      <c r="AA20" s="255">
        <v>24</v>
      </c>
      <c r="AB20" s="465">
        <v>13</v>
      </c>
      <c r="AE20" s="705"/>
      <c r="AF20" s="460" t="s">
        <v>330</v>
      </c>
      <c r="AG20" s="458">
        <v>24</v>
      </c>
      <c r="AH20" s="462">
        <f t="shared" si="0"/>
        <v>13</v>
      </c>
      <c r="AI20" s="463">
        <f t="shared" si="3"/>
        <v>11</v>
      </c>
    </row>
    <row r="21" spans="1:35">
      <c r="A21" s="688"/>
      <c r="B21" s="363" t="s">
        <v>101</v>
      </c>
      <c r="C21" s="417">
        <f>16*30</f>
        <v>480</v>
      </c>
      <c r="D21" s="335">
        <v>0.98</v>
      </c>
      <c r="E21" s="448">
        <v>281</v>
      </c>
      <c r="F21" s="107">
        <f t="shared" si="1"/>
        <v>132182.39999999999</v>
      </c>
      <c r="G21" s="640"/>
      <c r="H21" s="688"/>
      <c r="I21" s="590"/>
      <c r="J21" s="590"/>
      <c r="K21" s="582"/>
      <c r="L21" s="582"/>
      <c r="M21" s="255">
        <v>34</v>
      </c>
      <c r="N21" s="417">
        <v>1032</v>
      </c>
      <c r="O21" s="707"/>
      <c r="P21" s="363" t="s">
        <v>101</v>
      </c>
      <c r="Q21" s="453">
        <v>552</v>
      </c>
      <c r="R21" s="335">
        <v>0.98</v>
      </c>
      <c r="S21" s="448">
        <v>281</v>
      </c>
      <c r="T21" s="107">
        <f t="shared" si="2"/>
        <v>152009.76</v>
      </c>
      <c r="U21" s="640"/>
      <c r="V21" s="688"/>
      <c r="W21" s="590"/>
      <c r="X21" s="590"/>
      <c r="Y21" s="582"/>
      <c r="Z21" s="582"/>
      <c r="AA21" s="255">
        <v>34</v>
      </c>
      <c r="AB21" s="465">
        <v>18</v>
      </c>
      <c r="AE21" s="706"/>
      <c r="AF21" s="460" t="s">
        <v>101</v>
      </c>
      <c r="AG21" s="458">
        <v>34</v>
      </c>
      <c r="AH21" s="462">
        <f t="shared" si="0"/>
        <v>18.399999999999999</v>
      </c>
      <c r="AI21" s="463">
        <f t="shared" si="3"/>
        <v>15.600000000000001</v>
      </c>
    </row>
    <row r="22" spans="1:35" ht="25.5">
      <c r="A22" s="688" t="s">
        <v>352</v>
      </c>
      <c r="B22" s="363" t="s">
        <v>379</v>
      </c>
      <c r="C22" s="361">
        <v>10000</v>
      </c>
      <c r="D22" s="415">
        <v>0.28999999999999998</v>
      </c>
      <c r="E22" s="448">
        <v>281</v>
      </c>
      <c r="F22" s="107">
        <f t="shared" si="1"/>
        <v>814900</v>
      </c>
      <c r="G22" s="640">
        <v>455</v>
      </c>
      <c r="H22" s="688">
        <f>SUM(N22:N26)</f>
        <v>25000</v>
      </c>
      <c r="I22" s="590">
        <v>300</v>
      </c>
      <c r="J22" s="590">
        <f>G22/H22*SUM(C22:C26)*I22</f>
        <v>136500</v>
      </c>
      <c r="K22" s="582">
        <f>J22+SUM(F22:F26)</f>
        <v>2140030</v>
      </c>
      <c r="L22" s="582">
        <f>K22/SUM(C22:C26)</f>
        <v>85.601200000000006</v>
      </c>
      <c r="M22" s="255">
        <v>10</v>
      </c>
      <c r="N22" s="361">
        <v>10000</v>
      </c>
      <c r="O22" s="707" t="s">
        <v>352</v>
      </c>
      <c r="P22" s="363" t="s">
        <v>379</v>
      </c>
      <c r="Q22" s="453">
        <v>0</v>
      </c>
      <c r="R22" s="415">
        <v>0.28999999999999998</v>
      </c>
      <c r="S22" s="448">
        <v>281</v>
      </c>
      <c r="T22" s="107">
        <f t="shared" si="2"/>
        <v>0</v>
      </c>
      <c r="U22" s="640">
        <v>455</v>
      </c>
      <c r="V22" s="688">
        <v>25000</v>
      </c>
      <c r="W22" s="590">
        <v>670</v>
      </c>
      <c r="X22" s="590">
        <v>0</v>
      </c>
      <c r="Y22" s="582">
        <v>0</v>
      </c>
      <c r="Z22" s="582">
        <v>0</v>
      </c>
      <c r="AA22" s="255">
        <v>10</v>
      </c>
      <c r="AB22" s="465">
        <v>0</v>
      </c>
      <c r="AE22" s="704" t="s">
        <v>352</v>
      </c>
      <c r="AF22" s="460" t="s">
        <v>379</v>
      </c>
      <c r="AG22" s="458">
        <v>10</v>
      </c>
      <c r="AH22" s="462">
        <f t="shared" si="0"/>
        <v>0</v>
      </c>
      <c r="AI22" s="463">
        <f t="shared" si="3"/>
        <v>10</v>
      </c>
    </row>
    <row r="23" spans="1:35" ht="15" customHeight="1">
      <c r="A23" s="688"/>
      <c r="B23" s="363" t="s">
        <v>380</v>
      </c>
      <c r="C23" s="361">
        <v>6000</v>
      </c>
      <c r="D23" s="415">
        <v>0.27</v>
      </c>
      <c r="E23" s="448">
        <v>281</v>
      </c>
      <c r="F23" s="107">
        <f t="shared" si="1"/>
        <v>455220</v>
      </c>
      <c r="G23" s="640"/>
      <c r="H23" s="688"/>
      <c r="I23" s="590"/>
      <c r="J23" s="590"/>
      <c r="K23" s="582"/>
      <c r="L23" s="582"/>
      <c r="M23" s="255">
        <v>6</v>
      </c>
      <c r="N23" s="361">
        <v>6000</v>
      </c>
      <c r="O23" s="707"/>
      <c r="P23" s="363" t="s">
        <v>380</v>
      </c>
      <c r="Q23" s="453">
        <v>0</v>
      </c>
      <c r="R23" s="415">
        <v>0.27</v>
      </c>
      <c r="S23" s="448">
        <v>281</v>
      </c>
      <c r="T23" s="107">
        <f t="shared" si="2"/>
        <v>0</v>
      </c>
      <c r="U23" s="640"/>
      <c r="V23" s="688"/>
      <c r="W23" s="590"/>
      <c r="X23" s="590"/>
      <c r="Y23" s="582"/>
      <c r="Z23" s="582"/>
      <c r="AA23" s="255">
        <v>6</v>
      </c>
      <c r="AB23" s="465">
        <v>0</v>
      </c>
      <c r="AE23" s="705"/>
      <c r="AF23" s="460" t="s">
        <v>380</v>
      </c>
      <c r="AG23" s="458">
        <v>6</v>
      </c>
      <c r="AH23" s="462">
        <f t="shared" si="0"/>
        <v>0</v>
      </c>
      <c r="AI23" s="463">
        <f t="shared" si="3"/>
        <v>6</v>
      </c>
    </row>
    <row r="24" spans="1:35" ht="25.5">
      <c r="A24" s="688"/>
      <c r="B24" s="363" t="s">
        <v>381</v>
      </c>
      <c r="C24" s="361">
        <v>3000</v>
      </c>
      <c r="D24" s="415">
        <v>0.28999999999999998</v>
      </c>
      <c r="E24" s="448">
        <v>281</v>
      </c>
      <c r="F24" s="107">
        <f t="shared" si="1"/>
        <v>244469.99999999997</v>
      </c>
      <c r="G24" s="640"/>
      <c r="H24" s="688"/>
      <c r="I24" s="590"/>
      <c r="J24" s="590"/>
      <c r="K24" s="582"/>
      <c r="L24" s="582"/>
      <c r="M24" s="255">
        <v>3</v>
      </c>
      <c r="N24" s="361">
        <v>3000</v>
      </c>
      <c r="O24" s="707"/>
      <c r="P24" s="363" t="s">
        <v>381</v>
      </c>
      <c r="Q24" s="453">
        <v>0</v>
      </c>
      <c r="R24" s="415">
        <v>0.28999999999999998</v>
      </c>
      <c r="S24" s="448">
        <v>281</v>
      </c>
      <c r="T24" s="107">
        <f t="shared" si="2"/>
        <v>0</v>
      </c>
      <c r="U24" s="640"/>
      <c r="V24" s="688"/>
      <c r="W24" s="590"/>
      <c r="X24" s="590"/>
      <c r="Y24" s="582"/>
      <c r="Z24" s="582"/>
      <c r="AA24" s="255">
        <v>3</v>
      </c>
      <c r="AB24" s="465">
        <v>0</v>
      </c>
      <c r="AE24" s="705"/>
      <c r="AF24" s="460" t="s">
        <v>381</v>
      </c>
      <c r="AG24" s="458">
        <v>3</v>
      </c>
      <c r="AH24" s="462">
        <f t="shared" si="0"/>
        <v>0</v>
      </c>
      <c r="AI24" s="463">
        <f t="shared" si="3"/>
        <v>3</v>
      </c>
    </row>
    <row r="25" spans="1:35" ht="38.25" customHeight="1">
      <c r="A25" s="688"/>
      <c r="B25" s="363" t="s">
        <v>370</v>
      </c>
      <c r="C25" s="361">
        <v>3000</v>
      </c>
      <c r="D25" s="415">
        <v>0.28999999999999998</v>
      </c>
      <c r="E25" s="448">
        <v>281</v>
      </c>
      <c r="F25" s="107">
        <f t="shared" si="1"/>
        <v>244469.99999999997</v>
      </c>
      <c r="G25" s="640"/>
      <c r="H25" s="688"/>
      <c r="I25" s="590"/>
      <c r="J25" s="590"/>
      <c r="K25" s="582"/>
      <c r="L25" s="582"/>
      <c r="M25" s="255">
        <v>3</v>
      </c>
      <c r="N25" s="361">
        <v>3000</v>
      </c>
      <c r="O25" s="707"/>
      <c r="P25" s="363" t="s">
        <v>370</v>
      </c>
      <c r="Q25" s="453">
        <v>0</v>
      </c>
      <c r="R25" s="415">
        <v>0.28999999999999998</v>
      </c>
      <c r="S25" s="448">
        <v>281</v>
      </c>
      <c r="T25" s="107">
        <f t="shared" si="2"/>
        <v>0</v>
      </c>
      <c r="U25" s="640"/>
      <c r="V25" s="688"/>
      <c r="W25" s="590"/>
      <c r="X25" s="590"/>
      <c r="Y25" s="582"/>
      <c r="Z25" s="582"/>
      <c r="AA25" s="255">
        <v>3</v>
      </c>
      <c r="AB25" s="465">
        <v>0</v>
      </c>
      <c r="AE25" s="705"/>
      <c r="AF25" s="460" t="s">
        <v>370</v>
      </c>
      <c r="AG25" s="458">
        <v>3</v>
      </c>
      <c r="AH25" s="462">
        <f t="shared" si="0"/>
        <v>0</v>
      </c>
      <c r="AI25" s="463">
        <f t="shared" si="3"/>
        <v>3</v>
      </c>
    </row>
    <row r="26" spans="1:35" ht="15" customHeight="1">
      <c r="A26" s="688"/>
      <c r="B26" s="451" t="s">
        <v>382</v>
      </c>
      <c r="C26" s="417">
        <v>3000</v>
      </c>
      <c r="D26" s="415">
        <v>0.28999999999999998</v>
      </c>
      <c r="E26" s="448">
        <v>281</v>
      </c>
      <c r="F26" s="107">
        <f t="shared" si="1"/>
        <v>244469.99999999997</v>
      </c>
      <c r="G26" s="640"/>
      <c r="H26" s="688"/>
      <c r="I26" s="590"/>
      <c r="J26" s="590"/>
      <c r="K26" s="582"/>
      <c r="L26" s="582"/>
      <c r="M26" s="255">
        <v>3</v>
      </c>
      <c r="N26" s="417">
        <v>3000</v>
      </c>
      <c r="O26" s="707"/>
      <c r="P26" s="363" t="s">
        <v>382</v>
      </c>
      <c r="Q26" s="453">
        <v>0</v>
      </c>
      <c r="R26" s="415">
        <v>0.28999999999999998</v>
      </c>
      <c r="S26" s="448">
        <v>281</v>
      </c>
      <c r="T26" s="107">
        <f t="shared" si="2"/>
        <v>0</v>
      </c>
      <c r="U26" s="640"/>
      <c r="V26" s="688"/>
      <c r="W26" s="590"/>
      <c r="X26" s="590"/>
      <c r="Y26" s="582"/>
      <c r="Z26" s="582"/>
      <c r="AA26" s="255">
        <v>3</v>
      </c>
      <c r="AB26" s="465">
        <v>0</v>
      </c>
      <c r="AE26" s="706"/>
      <c r="AF26" s="460" t="s">
        <v>382</v>
      </c>
      <c r="AG26" s="458">
        <v>3</v>
      </c>
      <c r="AH26" s="462">
        <f t="shared" si="0"/>
        <v>0</v>
      </c>
      <c r="AI26" s="463">
        <f t="shared" si="3"/>
        <v>3</v>
      </c>
    </row>
    <row r="27" spans="1:35" ht="38.25" customHeight="1">
      <c r="A27" s="448" t="s">
        <v>4</v>
      </c>
      <c r="B27" s="450"/>
      <c r="C27" s="448">
        <f>SUM(C3:C26)</f>
        <v>35797</v>
      </c>
      <c r="D27" s="448"/>
      <c r="E27" s="448"/>
      <c r="F27" s="447">
        <f>SUM(F3:F26)</f>
        <v>5270233.68</v>
      </c>
      <c r="G27" s="448">
        <f>SUM(G3:G26)</f>
        <v>8540</v>
      </c>
      <c r="H27" s="445">
        <f>SUM(H3:H26)</f>
        <v>43907</v>
      </c>
      <c r="I27" s="448"/>
      <c r="J27" s="448">
        <f>SUM(J3:J26)</f>
        <v>3120202.9997437983</v>
      </c>
      <c r="K27" s="447">
        <f>SUM(K3:K26)</f>
        <v>8390436.6797437984</v>
      </c>
      <c r="L27" s="448"/>
      <c r="M27" s="340">
        <f>SUM(M3:M26)</f>
        <v>653</v>
      </c>
      <c r="N27" s="464">
        <f>SUM(N3:N26)</f>
        <v>43907</v>
      </c>
      <c r="O27" s="450" t="s">
        <v>4</v>
      </c>
      <c r="P27" s="448"/>
      <c r="Q27" s="448">
        <f>SUM(Q3:Q26)</f>
        <v>8111</v>
      </c>
      <c r="R27" s="448"/>
      <c r="S27" s="448"/>
      <c r="T27" s="447">
        <f>SUM(T3:T26)</f>
        <v>2586666.8200000003</v>
      </c>
      <c r="U27" s="448">
        <f>SUM(U3:U26)</f>
        <v>8540</v>
      </c>
      <c r="V27" s="445">
        <f>SUM(V3:V26)</f>
        <v>43907</v>
      </c>
      <c r="W27" s="448"/>
      <c r="X27" s="448">
        <f>SUM(X3:X26)</f>
        <v>2433558.5045405556</v>
      </c>
      <c r="Y27" s="447">
        <f>SUM(Y3:Y26)</f>
        <v>5020225.3245405564</v>
      </c>
      <c r="Z27" s="448"/>
      <c r="AA27" s="340">
        <f>SUM(AA3:AA26)</f>
        <v>653</v>
      </c>
      <c r="AB27" s="465">
        <f>SUM(AB3:AB26)</f>
        <v>270</v>
      </c>
      <c r="AE27" s="461" t="s">
        <v>4</v>
      </c>
      <c r="AF27" s="462"/>
      <c r="AG27" s="463">
        <f>SUM(AG3:AG26)</f>
        <v>653</v>
      </c>
      <c r="AH27" s="462">
        <f t="shared" si="0"/>
        <v>270.36666666666667</v>
      </c>
      <c r="AI27" s="463">
        <f t="shared" si="3"/>
        <v>382.63333333333333</v>
      </c>
    </row>
    <row r="28" spans="1:35">
      <c r="A28" s="1"/>
      <c r="B28" s="49"/>
      <c r="C28" s="1"/>
      <c r="D28" s="1"/>
      <c r="E28" s="1"/>
      <c r="F28" s="558" t="s">
        <v>233</v>
      </c>
      <c r="G28" s="558"/>
      <c r="H28" s="27">
        <f>K27+K28</f>
        <v>8474341.0465412363</v>
      </c>
      <c r="I28" s="558" t="s">
        <v>232</v>
      </c>
      <c r="J28" s="558"/>
      <c r="K28" s="2">
        <f>K27*1%</f>
        <v>83904.366797437993</v>
      </c>
      <c r="L28" s="1"/>
      <c r="O28" s="1"/>
      <c r="P28" s="1"/>
      <c r="Q28" s="1"/>
      <c r="R28" s="1"/>
      <c r="S28" s="1"/>
      <c r="T28" s="558" t="s">
        <v>233</v>
      </c>
      <c r="U28" s="558"/>
      <c r="V28" s="27">
        <f>Y27+Y28</f>
        <v>5070427.5777859623</v>
      </c>
      <c r="W28" s="558" t="s">
        <v>232</v>
      </c>
      <c r="X28" s="558"/>
      <c r="Y28" s="2">
        <f>Y27*1%</f>
        <v>50202.253245405562</v>
      </c>
      <c r="Z28" s="1"/>
      <c r="AB28" s="467"/>
    </row>
    <row r="31" spans="1:35">
      <c r="O31">
        <f>Q27+C27</f>
        <v>43908</v>
      </c>
    </row>
  </sheetData>
  <mergeCells count="82">
    <mergeCell ref="F28:G28"/>
    <mergeCell ref="I28:J28"/>
    <mergeCell ref="L6:L13"/>
    <mergeCell ref="K18:K21"/>
    <mergeCell ref="L18:L21"/>
    <mergeCell ref="I22:I26"/>
    <mergeCell ref="J22:J26"/>
    <mergeCell ref="K22:K26"/>
    <mergeCell ref="L22:L26"/>
    <mergeCell ref="I18:I21"/>
    <mergeCell ref="J18:J21"/>
    <mergeCell ref="A6:A13"/>
    <mergeCell ref="A3:A4"/>
    <mergeCell ref="G3:G4"/>
    <mergeCell ref="K14:K17"/>
    <mergeCell ref="L14:L17"/>
    <mergeCell ref="I14:I17"/>
    <mergeCell ref="J14:J17"/>
    <mergeCell ref="G6:G13"/>
    <mergeCell ref="H6:H13"/>
    <mergeCell ref="I6:I13"/>
    <mergeCell ref="J6:J13"/>
    <mergeCell ref="K6:K13"/>
    <mergeCell ref="H3:H4"/>
    <mergeCell ref="I3:I4"/>
    <mergeCell ref="J3:J4"/>
    <mergeCell ref="A22:A26"/>
    <mergeCell ref="A18:A21"/>
    <mergeCell ref="A14:A17"/>
    <mergeCell ref="G14:G17"/>
    <mergeCell ref="H14:H17"/>
    <mergeCell ref="G18:G21"/>
    <mergeCell ref="H18:H21"/>
    <mergeCell ref="G22:G26"/>
    <mergeCell ref="H22:H26"/>
    <mergeCell ref="Y3:Y4"/>
    <mergeCell ref="Z3:Z4"/>
    <mergeCell ref="O1:X1"/>
    <mergeCell ref="K3:K4"/>
    <mergeCell ref="L3:L4"/>
    <mergeCell ref="O3:O4"/>
    <mergeCell ref="U3:U4"/>
    <mergeCell ref="V3:V4"/>
    <mergeCell ref="W3:W4"/>
    <mergeCell ref="X3:X4"/>
    <mergeCell ref="X18:X21"/>
    <mergeCell ref="Y18:Y21"/>
    <mergeCell ref="Z6:Z13"/>
    <mergeCell ref="O14:O17"/>
    <mergeCell ref="U14:U17"/>
    <mergeCell ref="V14:V17"/>
    <mergeCell ref="W14:W17"/>
    <mergeCell ref="X14:X17"/>
    <mergeCell ref="Y14:Y17"/>
    <mergeCell ref="Z14:Z17"/>
    <mergeCell ref="O6:O13"/>
    <mergeCell ref="U6:U13"/>
    <mergeCell ref="V6:V13"/>
    <mergeCell ref="W6:W13"/>
    <mergeCell ref="X6:X13"/>
    <mergeCell ref="Y6:Y13"/>
    <mergeCell ref="AE22:AE26"/>
    <mergeCell ref="T28:U28"/>
    <mergeCell ref="W28:X28"/>
    <mergeCell ref="A1:J1"/>
    <mergeCell ref="Z18:Z21"/>
    <mergeCell ref="O22:O26"/>
    <mergeCell ref="U22:U26"/>
    <mergeCell ref="V22:V26"/>
    <mergeCell ref="W22:W26"/>
    <mergeCell ref="X22:X26"/>
    <mergeCell ref="Y22:Y26"/>
    <mergeCell ref="Z22:Z26"/>
    <mergeCell ref="O18:O21"/>
    <mergeCell ref="U18:U21"/>
    <mergeCell ref="V18:V21"/>
    <mergeCell ref="W18:W21"/>
    <mergeCell ref="AE1:AH1"/>
    <mergeCell ref="AE3:AE4"/>
    <mergeCell ref="AE6:AE13"/>
    <mergeCell ref="AE14:AE17"/>
    <mergeCell ref="AE18:AE21"/>
  </mergeCells>
  <pageMargins left="0.43" right="0.18" top="0.39" bottom="0.34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2" zoomScale="80" zoomScaleNormal="80" workbookViewId="0">
      <selection activeCell="K38" sqref="K38"/>
    </sheetView>
  </sheetViews>
  <sheetFormatPr defaultRowHeight="15"/>
  <cols>
    <col min="1" max="1" width="31" bestFit="1" customWidth="1"/>
    <col min="2" max="4" width="10.5703125" customWidth="1"/>
    <col min="5" max="5" width="13.28515625" customWidth="1"/>
    <col min="6" max="6" width="9.28515625" customWidth="1"/>
    <col min="7" max="7" width="11" customWidth="1"/>
    <col min="8" max="8" width="10.28515625" customWidth="1"/>
    <col min="9" max="9" width="15.28515625" customWidth="1"/>
    <col min="10" max="10" width="15.140625" customWidth="1"/>
    <col min="13" max="13" width="15.5703125" bestFit="1" customWidth="1"/>
  </cols>
  <sheetData>
    <row r="1" spans="1:23" ht="18.75">
      <c r="A1" s="516" t="s">
        <v>64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M1" s="516" t="s">
        <v>20</v>
      </c>
      <c r="N1" s="516"/>
      <c r="O1" s="516"/>
      <c r="P1" s="516"/>
      <c r="Q1" s="516"/>
      <c r="R1" s="516"/>
      <c r="S1" s="516"/>
      <c r="T1" s="516"/>
      <c r="U1" s="516"/>
      <c r="V1" s="516"/>
      <c r="W1" s="516"/>
    </row>
    <row r="2" spans="1:23" ht="31.5">
      <c r="A2" s="5" t="s">
        <v>0</v>
      </c>
      <c r="B2" s="5" t="s">
        <v>1</v>
      </c>
      <c r="C2" s="5" t="s">
        <v>2</v>
      </c>
      <c r="D2" s="5" t="s">
        <v>3</v>
      </c>
      <c r="E2" s="14" t="s">
        <v>4</v>
      </c>
      <c r="F2" s="6" t="s">
        <v>5</v>
      </c>
      <c r="G2" s="5" t="s">
        <v>6</v>
      </c>
      <c r="H2" s="6" t="s">
        <v>7</v>
      </c>
      <c r="I2" s="5" t="s">
        <v>8</v>
      </c>
      <c r="J2" s="18" t="s">
        <v>9</v>
      </c>
      <c r="K2" s="6" t="s">
        <v>10</v>
      </c>
      <c r="M2" s="5" t="s">
        <v>0</v>
      </c>
      <c r="N2" s="5" t="s">
        <v>1</v>
      </c>
      <c r="O2" s="5" t="s">
        <v>2</v>
      </c>
      <c r="P2" s="5" t="s">
        <v>3</v>
      </c>
      <c r="Q2" s="14" t="s">
        <v>4</v>
      </c>
      <c r="R2" s="6" t="s">
        <v>5</v>
      </c>
      <c r="S2" s="5" t="s">
        <v>6</v>
      </c>
      <c r="T2" s="6" t="s">
        <v>7</v>
      </c>
      <c r="U2" s="5" t="s">
        <v>8</v>
      </c>
      <c r="V2" s="18" t="s">
        <v>9</v>
      </c>
      <c r="W2" s="6" t="s">
        <v>10</v>
      </c>
    </row>
    <row r="3" spans="1:23">
      <c r="A3" s="2" t="s">
        <v>45</v>
      </c>
      <c r="B3" s="1"/>
      <c r="C3" s="1"/>
      <c r="D3" s="1"/>
      <c r="E3" s="15"/>
      <c r="F3" s="1"/>
      <c r="G3" s="1"/>
      <c r="H3" s="1"/>
      <c r="I3" s="1"/>
      <c r="J3" s="19"/>
      <c r="K3" s="1"/>
      <c r="M3" s="2" t="s">
        <v>45</v>
      </c>
      <c r="N3" s="1"/>
      <c r="O3" s="1"/>
      <c r="P3" s="1"/>
      <c r="Q3" s="15"/>
      <c r="R3" s="1"/>
      <c r="S3" s="1"/>
      <c r="T3" s="1"/>
      <c r="U3" s="1"/>
      <c r="V3" s="19"/>
      <c r="W3" s="1"/>
    </row>
    <row r="4" spans="1:23">
      <c r="A4" s="1" t="s">
        <v>23</v>
      </c>
      <c r="B4" s="1">
        <v>1024.5</v>
      </c>
      <c r="C4" s="1">
        <v>1.08</v>
      </c>
      <c r="D4" s="1">
        <v>160</v>
      </c>
      <c r="E4" s="16">
        <f>B4*C4*D4</f>
        <v>177033.60000000001</v>
      </c>
      <c r="F4" s="1">
        <v>653</v>
      </c>
      <c r="G4" s="1">
        <v>2014.5</v>
      </c>
      <c r="H4" s="1">
        <v>410</v>
      </c>
      <c r="I4" s="7">
        <f>F4/G4*B4*H4</f>
        <v>136157.55026061056</v>
      </c>
      <c r="J4" s="20">
        <f>I4+E4</f>
        <v>313191.15026061056</v>
      </c>
      <c r="K4" s="7">
        <f>J4/B4</f>
        <v>305.70146438322166</v>
      </c>
      <c r="M4" s="1" t="s">
        <v>23</v>
      </c>
      <c r="N4" s="1">
        <v>990</v>
      </c>
      <c r="O4" s="1">
        <v>1.08</v>
      </c>
      <c r="P4" s="1">
        <v>160</v>
      </c>
      <c r="Q4" s="16">
        <f>N4*O4*P4</f>
        <v>171072</v>
      </c>
      <c r="R4" s="1">
        <v>653</v>
      </c>
      <c r="S4" s="1">
        <v>2014.5</v>
      </c>
      <c r="T4" s="1">
        <v>410</v>
      </c>
      <c r="U4" s="7">
        <f>R4/S4*N4*T4</f>
        <v>131572.44973938944</v>
      </c>
      <c r="V4" s="20">
        <f>U4+Q4</f>
        <v>302644.44973938947</v>
      </c>
      <c r="W4" s="7">
        <f>V4/N4</f>
        <v>305.70146438322166</v>
      </c>
    </row>
    <row r="5" spans="1:23">
      <c r="A5" s="1" t="s">
        <v>24</v>
      </c>
      <c r="B5" s="1">
        <v>503</v>
      </c>
      <c r="C5" s="1">
        <v>1.08</v>
      </c>
      <c r="D5" s="1">
        <v>160</v>
      </c>
      <c r="E5" s="16">
        <f t="shared" ref="E5:E39" si="0">B5*C5*D5</f>
        <v>86918.399999999994</v>
      </c>
      <c r="F5" s="1">
        <v>341.7</v>
      </c>
      <c r="G5" s="1">
        <v>1013</v>
      </c>
      <c r="H5" s="1">
        <v>410</v>
      </c>
      <c r="I5" s="7">
        <f t="shared" ref="I5:I39" si="1">F5/G5*B5*H5</f>
        <v>69564.453109575508</v>
      </c>
      <c r="J5" s="20">
        <f t="shared" ref="J5:J39" si="2">I5+E5</f>
        <v>156482.85310957552</v>
      </c>
      <c r="K5" s="7">
        <f t="shared" ref="K5:K8" si="3">J5/B5</f>
        <v>311.0991115498519</v>
      </c>
      <c r="M5" s="1" t="s">
        <v>24</v>
      </c>
      <c r="N5" s="1">
        <v>510</v>
      </c>
      <c r="O5" s="1">
        <v>1.08</v>
      </c>
      <c r="P5" s="1">
        <v>160</v>
      </c>
      <c r="Q5" s="16">
        <f t="shared" ref="Q5:Q44" si="4">N5*O5*P5</f>
        <v>88128.000000000015</v>
      </c>
      <c r="R5" s="1">
        <v>341.7</v>
      </c>
      <c r="S5" s="1">
        <v>1013</v>
      </c>
      <c r="T5" s="1">
        <v>410</v>
      </c>
      <c r="U5" s="7">
        <f t="shared" ref="U5:U8" si="5">R5/S5*N5*T5</f>
        <v>70532.546890424477</v>
      </c>
      <c r="V5" s="20">
        <f t="shared" ref="V5:V8" si="6">U5+Q5</f>
        <v>158660.54689042451</v>
      </c>
      <c r="W5" s="7">
        <f t="shared" ref="W5:W8" si="7">V5/N5</f>
        <v>311.09911154985195</v>
      </c>
    </row>
    <row r="6" spans="1:23">
      <c r="A6" s="1" t="s">
        <v>26</v>
      </c>
      <c r="B6" s="1">
        <v>211</v>
      </c>
      <c r="C6" s="1">
        <v>1.1499999999999999</v>
      </c>
      <c r="D6" s="1">
        <v>160</v>
      </c>
      <c r="E6" s="16">
        <f t="shared" si="0"/>
        <v>38824</v>
      </c>
      <c r="F6" s="1">
        <v>147</v>
      </c>
      <c r="G6" s="1">
        <v>421</v>
      </c>
      <c r="H6" s="1">
        <v>410</v>
      </c>
      <c r="I6" s="7">
        <f t="shared" si="1"/>
        <v>30206.579572446553</v>
      </c>
      <c r="J6" s="20">
        <f t="shared" si="2"/>
        <v>69030.579572446557</v>
      </c>
      <c r="K6" s="7">
        <f t="shared" si="3"/>
        <v>327.15914489311166</v>
      </c>
      <c r="M6" s="1" t="s">
        <v>26</v>
      </c>
      <c r="N6" s="1">
        <v>210</v>
      </c>
      <c r="O6" s="1">
        <v>1.1499999999999999</v>
      </c>
      <c r="P6" s="1">
        <v>160</v>
      </c>
      <c r="Q6" s="16">
        <f t="shared" si="4"/>
        <v>38639.999999999993</v>
      </c>
      <c r="R6" s="1">
        <v>147</v>
      </c>
      <c r="S6" s="1">
        <v>421</v>
      </c>
      <c r="T6" s="1">
        <v>410</v>
      </c>
      <c r="U6" s="7">
        <f t="shared" si="5"/>
        <v>30063.420427553447</v>
      </c>
      <c r="V6" s="20">
        <f t="shared" si="6"/>
        <v>68703.420427553443</v>
      </c>
      <c r="W6" s="7">
        <f t="shared" si="7"/>
        <v>327.15914489311166</v>
      </c>
    </row>
    <row r="7" spans="1:23">
      <c r="A7" s="1" t="s">
        <v>27</v>
      </c>
      <c r="B7" s="1">
        <v>256</v>
      </c>
      <c r="C7" s="1">
        <v>1.08</v>
      </c>
      <c r="D7" s="1">
        <v>160</v>
      </c>
      <c r="E7" s="16">
        <f t="shared" si="0"/>
        <v>44236.800000000003</v>
      </c>
      <c r="F7" s="1">
        <v>198</v>
      </c>
      <c r="G7" s="1">
        <v>526</v>
      </c>
      <c r="H7" s="1">
        <v>410</v>
      </c>
      <c r="I7" s="7">
        <f t="shared" si="1"/>
        <v>39509.657794676808</v>
      </c>
      <c r="J7" s="20">
        <f t="shared" si="2"/>
        <v>83746.457794676811</v>
      </c>
      <c r="K7" s="7">
        <f t="shared" si="3"/>
        <v>327.13460076045629</v>
      </c>
      <c r="M7" s="1" t="s">
        <v>27</v>
      </c>
      <c r="N7" s="1">
        <v>270</v>
      </c>
      <c r="O7" s="1">
        <v>1.08</v>
      </c>
      <c r="P7" s="1">
        <v>160</v>
      </c>
      <c r="Q7" s="16">
        <f t="shared" si="4"/>
        <v>46656</v>
      </c>
      <c r="R7" s="1">
        <v>198</v>
      </c>
      <c r="S7" s="1">
        <v>526</v>
      </c>
      <c r="T7" s="1">
        <v>410</v>
      </c>
      <c r="U7" s="7">
        <f t="shared" si="5"/>
        <v>41670.342205323192</v>
      </c>
      <c r="V7" s="20">
        <f t="shared" si="6"/>
        <v>88326.342205323192</v>
      </c>
      <c r="W7" s="7">
        <f t="shared" si="7"/>
        <v>327.13460076045624</v>
      </c>
    </row>
    <row r="8" spans="1:23">
      <c r="A8" s="1" t="s">
        <v>28</v>
      </c>
      <c r="B8" s="1">
        <v>277</v>
      </c>
      <c r="C8" s="1">
        <v>1.1499999999999999</v>
      </c>
      <c r="D8" s="1">
        <v>160</v>
      </c>
      <c r="E8" s="16">
        <f t="shared" si="0"/>
        <v>50967.999999999993</v>
      </c>
      <c r="F8" s="1">
        <v>175.1</v>
      </c>
      <c r="G8" s="1">
        <v>517</v>
      </c>
      <c r="H8" s="1">
        <v>410</v>
      </c>
      <c r="I8" s="7">
        <f t="shared" si="1"/>
        <v>38464.423597678913</v>
      </c>
      <c r="J8" s="20">
        <f t="shared" si="2"/>
        <v>89432.423597678906</v>
      </c>
      <c r="K8" s="7">
        <f t="shared" si="3"/>
        <v>322.86073500967115</v>
      </c>
      <c r="M8" s="1" t="s">
        <v>28</v>
      </c>
      <c r="N8" s="1">
        <v>240</v>
      </c>
      <c r="O8" s="1">
        <v>1.1499999999999999</v>
      </c>
      <c r="P8" s="1">
        <v>160</v>
      </c>
      <c r="Q8" s="16">
        <f t="shared" si="4"/>
        <v>44160</v>
      </c>
      <c r="R8" s="1">
        <v>175.1</v>
      </c>
      <c r="S8" s="1">
        <v>517</v>
      </c>
      <c r="T8" s="1">
        <v>410</v>
      </c>
      <c r="U8" s="1">
        <f t="shared" si="5"/>
        <v>33326.57640232108</v>
      </c>
      <c r="V8" s="20">
        <f t="shared" si="6"/>
        <v>77486.57640232108</v>
      </c>
      <c r="W8" s="7">
        <f t="shared" si="7"/>
        <v>322.86073500967115</v>
      </c>
    </row>
    <row r="9" spans="1:23">
      <c r="A9" s="2" t="s">
        <v>46</v>
      </c>
      <c r="B9" s="1"/>
      <c r="C9" s="1"/>
      <c r="D9" s="1"/>
      <c r="E9" s="16"/>
      <c r="F9" s="1"/>
      <c r="G9" s="1"/>
      <c r="H9" s="1"/>
      <c r="I9" s="7"/>
      <c r="J9" s="20"/>
      <c r="K9" s="7"/>
      <c r="M9" s="2" t="s">
        <v>46</v>
      </c>
      <c r="N9" s="1"/>
      <c r="O9" s="1"/>
      <c r="P9" s="1">
        <v>160</v>
      </c>
      <c r="Q9" s="16">
        <f t="shared" si="4"/>
        <v>0</v>
      </c>
      <c r="R9" s="1"/>
      <c r="S9" s="1"/>
      <c r="T9" s="1">
        <v>410</v>
      </c>
      <c r="U9" s="1"/>
      <c r="V9" s="19"/>
      <c r="W9" s="1"/>
    </row>
    <row r="10" spans="1:23">
      <c r="A10" s="23" t="s">
        <v>11</v>
      </c>
      <c r="B10" s="1">
        <v>810</v>
      </c>
      <c r="C10" s="1">
        <v>0.79</v>
      </c>
      <c r="D10" s="1">
        <v>160</v>
      </c>
      <c r="E10" s="16">
        <f t="shared" si="0"/>
        <v>102384</v>
      </c>
      <c r="F10" s="1">
        <v>477</v>
      </c>
      <c r="G10" s="1">
        <v>1602</v>
      </c>
      <c r="H10" s="1">
        <v>410</v>
      </c>
      <c r="I10" s="7">
        <f t="shared" si="1"/>
        <v>98883.707865168544</v>
      </c>
      <c r="J10" s="20">
        <f t="shared" si="2"/>
        <v>201267.70786516854</v>
      </c>
      <c r="K10" s="7">
        <f t="shared" ref="K10:K13" si="8">J10/B10</f>
        <v>248.47865168539326</v>
      </c>
      <c r="M10" s="23" t="s">
        <v>11</v>
      </c>
      <c r="N10" s="1">
        <v>792</v>
      </c>
      <c r="O10" s="1">
        <v>0.79</v>
      </c>
      <c r="P10" s="1">
        <v>160</v>
      </c>
      <c r="Q10" s="16">
        <f t="shared" si="4"/>
        <v>100108.80000000002</v>
      </c>
      <c r="R10" s="1">
        <v>477</v>
      </c>
      <c r="S10" s="1">
        <v>1602</v>
      </c>
      <c r="T10" s="1">
        <v>410</v>
      </c>
      <c r="U10" s="7">
        <f t="shared" ref="U10:U44" si="9">R10/S10*N10*T10</f>
        <v>96686.29213483147</v>
      </c>
      <c r="V10" s="20">
        <f t="shared" ref="V10:V44" si="10">U10+Q10</f>
        <v>196795.09213483147</v>
      </c>
      <c r="W10" s="7">
        <f t="shared" ref="W10:W44" si="11">V10/N10</f>
        <v>248.47865168539329</v>
      </c>
    </row>
    <row r="11" spans="1:23">
      <c r="A11" s="23" t="s">
        <v>47</v>
      </c>
      <c r="B11" s="1">
        <v>360</v>
      </c>
      <c r="C11" s="1">
        <v>0.79</v>
      </c>
      <c r="D11" s="1">
        <v>160</v>
      </c>
      <c r="E11" s="16">
        <f t="shared" si="0"/>
        <v>45504.000000000007</v>
      </c>
      <c r="F11" s="1">
        <v>207</v>
      </c>
      <c r="G11" s="1">
        <v>690</v>
      </c>
      <c r="H11" s="1">
        <v>410</v>
      </c>
      <c r="I11" s="7">
        <f t="shared" si="1"/>
        <v>44280</v>
      </c>
      <c r="J11" s="20">
        <f t="shared" si="2"/>
        <v>89784</v>
      </c>
      <c r="K11" s="7">
        <f t="shared" si="8"/>
        <v>249.4</v>
      </c>
      <c r="M11" s="23" t="s">
        <v>47</v>
      </c>
      <c r="N11" s="1">
        <v>330</v>
      </c>
      <c r="O11" s="1">
        <v>0.79</v>
      </c>
      <c r="P11" s="1">
        <v>160</v>
      </c>
      <c r="Q11" s="16">
        <f t="shared" si="4"/>
        <v>41712</v>
      </c>
      <c r="R11" s="1">
        <v>207</v>
      </c>
      <c r="S11" s="1">
        <v>690</v>
      </c>
      <c r="T11" s="1">
        <v>410</v>
      </c>
      <c r="U11" s="7">
        <f t="shared" si="9"/>
        <v>40590</v>
      </c>
      <c r="V11" s="20">
        <f t="shared" si="10"/>
        <v>82302</v>
      </c>
      <c r="W11" s="7">
        <f t="shared" si="11"/>
        <v>249.4</v>
      </c>
    </row>
    <row r="12" spans="1:23">
      <c r="A12" s="24" t="s">
        <v>48</v>
      </c>
      <c r="B12" s="1">
        <v>1140</v>
      </c>
      <c r="C12" s="1">
        <v>0.83</v>
      </c>
      <c r="D12" s="1">
        <v>160</v>
      </c>
      <c r="E12" s="16">
        <f t="shared" si="0"/>
        <v>151392</v>
      </c>
      <c r="F12" s="1">
        <v>678</v>
      </c>
      <c r="G12" s="1">
        <v>2272</v>
      </c>
      <c r="H12" s="1">
        <v>410</v>
      </c>
      <c r="I12" s="7">
        <f t="shared" si="1"/>
        <v>139479.40140845074</v>
      </c>
      <c r="J12" s="20">
        <f t="shared" si="2"/>
        <v>290871.40140845074</v>
      </c>
      <c r="K12" s="7">
        <f t="shared" si="8"/>
        <v>255.15035211267607</v>
      </c>
      <c r="M12" s="24" t="s">
        <v>48</v>
      </c>
      <c r="N12" s="1">
        <v>1132</v>
      </c>
      <c r="O12" s="1">
        <v>0.83</v>
      </c>
      <c r="P12" s="1">
        <v>160</v>
      </c>
      <c r="Q12" s="16">
        <f t="shared" si="4"/>
        <v>150329.59999999998</v>
      </c>
      <c r="R12" s="1">
        <v>678</v>
      </c>
      <c r="S12" s="1">
        <v>2272</v>
      </c>
      <c r="T12" s="1">
        <v>410</v>
      </c>
      <c r="U12" s="7">
        <f t="shared" si="9"/>
        <v>138500.59859154929</v>
      </c>
      <c r="V12" s="20">
        <f t="shared" si="10"/>
        <v>288830.1985915493</v>
      </c>
      <c r="W12" s="7">
        <f t="shared" si="11"/>
        <v>255.15035211267605</v>
      </c>
    </row>
    <row r="13" spans="1:23">
      <c r="A13" s="23" t="s">
        <v>49</v>
      </c>
      <c r="B13" s="1">
        <v>300</v>
      </c>
      <c r="C13" s="1">
        <v>0.79</v>
      </c>
      <c r="D13" s="1">
        <v>160</v>
      </c>
      <c r="E13" s="16">
        <f t="shared" si="0"/>
        <v>37920</v>
      </c>
      <c r="F13" s="1">
        <v>178</v>
      </c>
      <c r="G13" s="1">
        <v>598</v>
      </c>
      <c r="H13" s="1">
        <v>410</v>
      </c>
      <c r="I13" s="7">
        <f t="shared" si="1"/>
        <v>36612.040133779265</v>
      </c>
      <c r="J13" s="20">
        <f t="shared" si="2"/>
        <v>74532.040133779257</v>
      </c>
      <c r="K13" s="7">
        <f t="shared" si="8"/>
        <v>248.44013377926419</v>
      </c>
      <c r="M13" s="23" t="s">
        <v>49</v>
      </c>
      <c r="N13" s="1">
        <v>298</v>
      </c>
      <c r="O13" s="1">
        <v>0.79</v>
      </c>
      <c r="P13" s="1">
        <v>160</v>
      </c>
      <c r="Q13" s="16">
        <f t="shared" si="4"/>
        <v>37667.200000000004</v>
      </c>
      <c r="R13" s="1">
        <v>178</v>
      </c>
      <c r="S13" s="1">
        <v>598</v>
      </c>
      <c r="T13" s="1">
        <v>410</v>
      </c>
      <c r="U13" s="7">
        <f t="shared" si="9"/>
        <v>36367.959866220735</v>
      </c>
      <c r="V13" s="20">
        <f t="shared" si="10"/>
        <v>74035.15986622074</v>
      </c>
      <c r="W13" s="7">
        <f t="shared" si="11"/>
        <v>248.44013377926422</v>
      </c>
    </row>
    <row r="14" spans="1:23">
      <c r="A14" s="2" t="s">
        <v>22</v>
      </c>
      <c r="B14" s="1"/>
      <c r="C14" s="1"/>
      <c r="D14" s="1"/>
      <c r="E14" s="16"/>
      <c r="F14" s="1"/>
      <c r="G14" s="1"/>
      <c r="H14" s="1"/>
      <c r="I14" s="7"/>
      <c r="J14" s="20"/>
      <c r="K14" s="7"/>
      <c r="M14" s="2" t="s">
        <v>22</v>
      </c>
      <c r="N14" s="1"/>
      <c r="O14" s="1"/>
      <c r="P14" s="1"/>
      <c r="Q14" s="16"/>
      <c r="R14" s="1"/>
      <c r="S14" s="1"/>
      <c r="T14" s="1"/>
      <c r="U14" s="7"/>
      <c r="V14" s="20"/>
      <c r="W14" s="7"/>
    </row>
    <row r="15" spans="1:23">
      <c r="A15" s="1" t="s">
        <v>48</v>
      </c>
      <c r="B15" s="1">
        <v>810</v>
      </c>
      <c r="C15" s="1">
        <v>1.44</v>
      </c>
      <c r="D15" s="1">
        <v>160</v>
      </c>
      <c r="E15" s="16">
        <f t="shared" si="0"/>
        <v>186623.99999999997</v>
      </c>
      <c r="F15" s="1">
        <v>742</v>
      </c>
      <c r="G15" s="1">
        <v>1584</v>
      </c>
      <c r="H15" s="1">
        <v>410</v>
      </c>
      <c r="I15" s="7">
        <f t="shared" si="1"/>
        <v>155567.04545454547</v>
      </c>
      <c r="J15" s="20">
        <f t="shared" si="2"/>
        <v>342191.04545454541</v>
      </c>
      <c r="K15" s="7">
        <f t="shared" ref="K15:K22" si="12">J15/B15</f>
        <v>422.45808080808075</v>
      </c>
      <c r="M15" s="1" t="s">
        <v>48</v>
      </c>
      <c r="N15" s="1">
        <v>774</v>
      </c>
      <c r="O15" s="1">
        <v>1.44</v>
      </c>
      <c r="P15" s="1">
        <v>160</v>
      </c>
      <c r="Q15" s="16">
        <f t="shared" si="4"/>
        <v>178329.59999999998</v>
      </c>
      <c r="R15" s="1">
        <v>742</v>
      </c>
      <c r="S15" s="1">
        <v>1584</v>
      </c>
      <c r="T15" s="1">
        <v>410</v>
      </c>
      <c r="U15" s="7">
        <f t="shared" si="9"/>
        <v>148652.95454545453</v>
      </c>
      <c r="V15" s="20">
        <f t="shared" si="10"/>
        <v>326982.55454545451</v>
      </c>
      <c r="W15" s="7">
        <f t="shared" si="11"/>
        <v>422.45808080808075</v>
      </c>
    </row>
    <row r="16" spans="1:23">
      <c r="A16" s="8" t="s">
        <v>19</v>
      </c>
      <c r="B16" s="1">
        <v>325</v>
      </c>
      <c r="C16" s="1">
        <v>1.51</v>
      </c>
      <c r="D16" s="1">
        <v>160</v>
      </c>
      <c r="E16" s="16">
        <f t="shared" si="0"/>
        <v>78520</v>
      </c>
      <c r="F16" s="1">
        <v>298.2</v>
      </c>
      <c r="G16" s="1">
        <v>625</v>
      </c>
      <c r="H16" s="1">
        <v>410</v>
      </c>
      <c r="I16" s="7">
        <f t="shared" si="1"/>
        <v>63576.24</v>
      </c>
      <c r="J16" s="20">
        <f t="shared" si="2"/>
        <v>142096.24</v>
      </c>
      <c r="K16" s="7">
        <f t="shared" si="12"/>
        <v>437.21919999999994</v>
      </c>
      <c r="M16" s="29" t="s">
        <v>19</v>
      </c>
      <c r="N16" s="1">
        <v>300</v>
      </c>
      <c r="O16" s="1">
        <v>1.51</v>
      </c>
      <c r="P16" s="1">
        <v>160</v>
      </c>
      <c r="Q16" s="16">
        <f t="shared" si="4"/>
        <v>72480</v>
      </c>
      <c r="R16" s="1">
        <v>298.2</v>
      </c>
      <c r="S16" s="1">
        <v>625</v>
      </c>
      <c r="T16" s="1">
        <v>410</v>
      </c>
      <c r="U16" s="7">
        <f t="shared" si="9"/>
        <v>58685.759999999995</v>
      </c>
      <c r="V16" s="20">
        <f t="shared" si="10"/>
        <v>131165.76000000001</v>
      </c>
      <c r="W16" s="7">
        <f t="shared" si="11"/>
        <v>437.21920000000006</v>
      </c>
    </row>
    <row r="17" spans="1:23">
      <c r="A17" s="25" t="s">
        <v>23</v>
      </c>
      <c r="B17" s="1">
        <v>1522</v>
      </c>
      <c r="C17" s="1">
        <v>1.44</v>
      </c>
      <c r="D17" s="1">
        <v>160</v>
      </c>
      <c r="E17" s="16">
        <f t="shared" si="0"/>
        <v>350668.79999999999</v>
      </c>
      <c r="F17" s="1">
        <v>1472.9</v>
      </c>
      <c r="G17" s="1">
        <v>3082</v>
      </c>
      <c r="H17" s="1">
        <v>410</v>
      </c>
      <c r="I17" s="7">
        <f t="shared" si="1"/>
        <v>298221.6281635302</v>
      </c>
      <c r="J17" s="20">
        <f t="shared" si="2"/>
        <v>648890.42816353019</v>
      </c>
      <c r="K17" s="7">
        <f t="shared" si="12"/>
        <v>426.34062297209607</v>
      </c>
      <c r="M17" s="25" t="s">
        <v>23</v>
      </c>
      <c r="N17" s="1">
        <v>1560</v>
      </c>
      <c r="O17" s="1">
        <v>1.44</v>
      </c>
      <c r="P17" s="1">
        <v>160</v>
      </c>
      <c r="Q17" s="16">
        <f t="shared" si="4"/>
        <v>359424</v>
      </c>
      <c r="R17" s="1">
        <v>1472.9</v>
      </c>
      <c r="S17" s="1">
        <v>3082</v>
      </c>
      <c r="T17" s="1">
        <v>410</v>
      </c>
      <c r="U17" s="7">
        <f t="shared" si="9"/>
        <v>305667.37183646986</v>
      </c>
      <c r="V17" s="20">
        <f t="shared" si="10"/>
        <v>665091.37183646986</v>
      </c>
      <c r="W17" s="7">
        <f t="shared" si="11"/>
        <v>426.34062297209607</v>
      </c>
    </row>
    <row r="18" spans="1:23">
      <c r="A18" s="11" t="s">
        <v>28</v>
      </c>
      <c r="B18" s="1">
        <v>300</v>
      </c>
      <c r="C18" s="1">
        <v>1.51</v>
      </c>
      <c r="D18" s="1">
        <v>160</v>
      </c>
      <c r="E18" s="16">
        <f t="shared" si="0"/>
        <v>72480</v>
      </c>
      <c r="F18" s="1">
        <v>300.3</v>
      </c>
      <c r="G18" s="1">
        <v>627</v>
      </c>
      <c r="H18" s="1">
        <v>410</v>
      </c>
      <c r="I18" s="7">
        <f>F18/G18*B18*H18</f>
        <v>58910.526315789481</v>
      </c>
      <c r="J18" s="20">
        <f t="shared" si="2"/>
        <v>131390.5263157895</v>
      </c>
      <c r="K18" s="7">
        <f>J18/B18</f>
        <v>437.96842105263164</v>
      </c>
      <c r="M18" s="11" t="s">
        <v>28</v>
      </c>
      <c r="N18" s="1">
        <v>327</v>
      </c>
      <c r="O18" s="1">
        <v>1.51</v>
      </c>
      <c r="P18" s="1">
        <v>160</v>
      </c>
      <c r="Q18" s="16">
        <f t="shared" si="4"/>
        <v>79003.199999999997</v>
      </c>
      <c r="R18" s="1">
        <v>300.3</v>
      </c>
      <c r="S18" s="1">
        <v>627</v>
      </c>
      <c r="T18" s="1">
        <v>410</v>
      </c>
      <c r="U18" s="7">
        <f t="shared" si="9"/>
        <v>64212.473684210534</v>
      </c>
      <c r="V18" s="20">
        <f t="shared" si="10"/>
        <v>143215.67368421052</v>
      </c>
      <c r="W18" s="7">
        <f t="shared" si="11"/>
        <v>437.96842105263153</v>
      </c>
    </row>
    <row r="19" spans="1:23">
      <c r="A19" s="11" t="s">
        <v>27</v>
      </c>
      <c r="B19" s="1">
        <v>300</v>
      </c>
      <c r="C19" s="1">
        <v>1.44</v>
      </c>
      <c r="D19" s="1">
        <v>160</v>
      </c>
      <c r="E19" s="16">
        <f t="shared" si="0"/>
        <v>69120</v>
      </c>
      <c r="F19" s="1">
        <v>296.10000000000002</v>
      </c>
      <c r="G19" s="1">
        <v>620.5</v>
      </c>
      <c r="H19" s="1">
        <v>410</v>
      </c>
      <c r="I19" s="7">
        <f t="shared" si="1"/>
        <v>58695.084609186146</v>
      </c>
      <c r="J19" s="20">
        <f t="shared" si="2"/>
        <v>127815.08460918615</v>
      </c>
      <c r="K19" s="7">
        <f t="shared" si="12"/>
        <v>426.05028203062051</v>
      </c>
      <c r="M19" s="11" t="s">
        <v>27</v>
      </c>
      <c r="N19" s="1">
        <v>320.5</v>
      </c>
      <c r="O19" s="1">
        <v>1.44</v>
      </c>
      <c r="P19" s="1">
        <v>160</v>
      </c>
      <c r="Q19" s="16">
        <f t="shared" si="4"/>
        <v>73843.199999999997</v>
      </c>
      <c r="R19" s="1">
        <v>296.10000000000002</v>
      </c>
      <c r="S19" s="1">
        <v>620.5</v>
      </c>
      <c r="T19" s="1">
        <v>410</v>
      </c>
      <c r="U19" s="7">
        <f t="shared" si="9"/>
        <v>62705.915390813869</v>
      </c>
      <c r="V19" s="20">
        <f t="shared" si="10"/>
        <v>136549.11539081385</v>
      </c>
      <c r="W19" s="7">
        <f t="shared" si="11"/>
        <v>426.05028203062045</v>
      </c>
    </row>
    <row r="20" spans="1:23">
      <c r="A20" s="10" t="s">
        <v>60</v>
      </c>
      <c r="B20" s="1">
        <v>875</v>
      </c>
      <c r="C20" s="1">
        <v>1.1499999999999999</v>
      </c>
      <c r="D20" s="1">
        <v>160</v>
      </c>
      <c r="E20" s="16">
        <f t="shared" si="0"/>
        <v>160999.99999999997</v>
      </c>
      <c r="F20" s="1">
        <v>171</v>
      </c>
      <c r="G20" s="1">
        <v>524</v>
      </c>
      <c r="H20" s="1">
        <v>410</v>
      </c>
      <c r="I20" s="7">
        <f t="shared" si="1"/>
        <v>117072.99618320611</v>
      </c>
      <c r="J20" s="20">
        <f t="shared" si="2"/>
        <v>278072.99618320609</v>
      </c>
      <c r="K20" s="7">
        <f t="shared" si="12"/>
        <v>317.79770992366412</v>
      </c>
      <c r="M20" s="10" t="s">
        <v>50</v>
      </c>
      <c r="N20" s="1">
        <v>768</v>
      </c>
      <c r="O20" s="1">
        <v>1.32</v>
      </c>
      <c r="P20" s="1">
        <v>160</v>
      </c>
      <c r="Q20" s="16">
        <f t="shared" si="4"/>
        <v>162201.60000000001</v>
      </c>
      <c r="R20" s="1">
        <v>520.20000000000005</v>
      </c>
      <c r="S20" s="1">
        <v>1518</v>
      </c>
      <c r="T20" s="1">
        <v>410</v>
      </c>
      <c r="U20" s="7">
        <f t="shared" si="9"/>
        <v>107905.51778656126</v>
      </c>
      <c r="V20" s="20">
        <f t="shared" si="10"/>
        <v>270107.11778656126</v>
      </c>
      <c r="W20" s="7">
        <f t="shared" si="11"/>
        <v>351.70197628458499</v>
      </c>
    </row>
    <row r="21" spans="1:23">
      <c r="A21" s="10" t="s">
        <v>61</v>
      </c>
      <c r="B21" s="1">
        <v>524</v>
      </c>
      <c r="C21" s="1">
        <v>1.1499999999999999</v>
      </c>
      <c r="D21" s="1">
        <v>160</v>
      </c>
      <c r="E21" s="16">
        <f t="shared" si="0"/>
        <v>96415.999999999985</v>
      </c>
      <c r="F21" s="1">
        <v>272.60000000000002</v>
      </c>
      <c r="G21" s="1">
        <v>875</v>
      </c>
      <c r="H21" s="1">
        <v>410</v>
      </c>
      <c r="I21" s="7">
        <f t="shared" si="1"/>
        <v>66931.867428571437</v>
      </c>
      <c r="J21" s="20">
        <f t="shared" si="2"/>
        <v>163347.86742857142</v>
      </c>
      <c r="K21" s="7">
        <f t="shared" si="12"/>
        <v>311.73257142857142</v>
      </c>
      <c r="M21" s="10" t="s">
        <v>51</v>
      </c>
      <c r="N21" s="1">
        <v>806</v>
      </c>
      <c r="O21" s="1">
        <v>0.86</v>
      </c>
      <c r="P21" s="1">
        <v>160</v>
      </c>
      <c r="Q21" s="16">
        <f t="shared" si="4"/>
        <v>110905.59999999999</v>
      </c>
      <c r="R21" s="1">
        <v>626.4</v>
      </c>
      <c r="S21" s="1">
        <v>1616</v>
      </c>
      <c r="T21" s="1">
        <v>410</v>
      </c>
      <c r="U21" s="7">
        <f t="shared" si="9"/>
        <v>128094.14851485149</v>
      </c>
      <c r="V21" s="20">
        <f t="shared" si="10"/>
        <v>238999.7485148515</v>
      </c>
      <c r="W21" s="7">
        <f t="shared" si="11"/>
        <v>296.52574257425744</v>
      </c>
    </row>
    <row r="22" spans="1:23">
      <c r="A22" s="10" t="s">
        <v>50</v>
      </c>
      <c r="B22" s="1">
        <v>750</v>
      </c>
      <c r="C22" s="1">
        <v>1.32</v>
      </c>
      <c r="D22" s="1">
        <v>160</v>
      </c>
      <c r="E22" s="16">
        <f t="shared" si="0"/>
        <v>158400</v>
      </c>
      <c r="F22" s="1">
        <v>520.20000000000005</v>
      </c>
      <c r="G22" s="1">
        <v>1518</v>
      </c>
      <c r="H22" s="1">
        <v>410</v>
      </c>
      <c r="I22" s="7">
        <f t="shared" si="1"/>
        <v>105376.48221343875</v>
      </c>
      <c r="J22" s="20">
        <f t="shared" si="2"/>
        <v>263776.48221343872</v>
      </c>
      <c r="K22" s="7">
        <f t="shared" si="12"/>
        <v>351.70197628458499</v>
      </c>
      <c r="M22" s="10" t="s">
        <v>52</v>
      </c>
      <c r="N22" s="1"/>
      <c r="O22" s="1"/>
      <c r="P22" s="1"/>
      <c r="Q22" s="16"/>
      <c r="R22" s="1"/>
      <c r="S22" s="1"/>
      <c r="T22" s="1"/>
      <c r="U22" s="7"/>
      <c r="V22" s="20"/>
      <c r="W22" s="7"/>
    </row>
    <row r="23" spans="1:23">
      <c r="A23" s="10" t="s">
        <v>51</v>
      </c>
      <c r="B23" s="1">
        <v>810</v>
      </c>
      <c r="C23" s="1">
        <v>0.86</v>
      </c>
      <c r="D23" s="1">
        <v>160</v>
      </c>
      <c r="E23" s="16">
        <f t="shared" si="0"/>
        <v>111456</v>
      </c>
      <c r="F23" s="1">
        <v>626.4</v>
      </c>
      <c r="G23" s="1">
        <v>1616</v>
      </c>
      <c r="H23" s="1">
        <v>410</v>
      </c>
      <c r="I23" s="7">
        <f t="shared" si="1"/>
        <v>128729.85148514852</v>
      </c>
      <c r="J23" s="20">
        <f t="shared" si="2"/>
        <v>240185.85148514854</v>
      </c>
      <c r="K23" s="7">
        <f t="shared" ref="K23:K39" si="13">J23/B23</f>
        <v>296.52574257425744</v>
      </c>
      <c r="M23" s="11" t="s">
        <v>18</v>
      </c>
      <c r="N23" s="1">
        <v>450</v>
      </c>
      <c r="O23" s="1">
        <v>0.95</v>
      </c>
      <c r="P23" s="1">
        <v>160</v>
      </c>
      <c r="Q23" s="16">
        <f t="shared" si="4"/>
        <v>68400</v>
      </c>
      <c r="R23" s="1">
        <v>267</v>
      </c>
      <c r="S23" s="1">
        <v>900</v>
      </c>
      <c r="T23" s="1">
        <v>410</v>
      </c>
      <c r="U23" s="7">
        <f t="shared" si="9"/>
        <v>54735</v>
      </c>
      <c r="V23" s="20">
        <f t="shared" si="10"/>
        <v>123135</v>
      </c>
      <c r="W23" s="7">
        <f t="shared" si="11"/>
        <v>273.63333333333333</v>
      </c>
    </row>
    <row r="24" spans="1:23">
      <c r="A24" s="10" t="s">
        <v>52</v>
      </c>
      <c r="B24" s="1"/>
      <c r="C24" s="1"/>
      <c r="D24" s="1"/>
      <c r="E24" s="16"/>
      <c r="F24" s="1"/>
      <c r="G24" s="1"/>
      <c r="H24" s="1"/>
      <c r="I24" s="7"/>
      <c r="J24" s="20"/>
      <c r="K24" s="7"/>
      <c r="M24" s="11" t="s">
        <v>28</v>
      </c>
      <c r="N24" s="1">
        <v>492</v>
      </c>
      <c r="O24" s="1">
        <v>0.95</v>
      </c>
      <c r="P24" s="1">
        <v>160</v>
      </c>
      <c r="Q24" s="16">
        <f t="shared" si="4"/>
        <v>74784</v>
      </c>
      <c r="R24" s="1">
        <v>288</v>
      </c>
      <c r="S24" s="1">
        <v>972</v>
      </c>
      <c r="T24" s="1">
        <v>410</v>
      </c>
      <c r="U24" s="7">
        <f t="shared" si="9"/>
        <v>59768.888888888883</v>
      </c>
      <c r="V24" s="20">
        <f t="shared" si="10"/>
        <v>134552.88888888888</v>
      </c>
      <c r="W24" s="7">
        <f t="shared" si="11"/>
        <v>273.48148148148147</v>
      </c>
    </row>
    <row r="25" spans="1:23">
      <c r="A25" s="11" t="s">
        <v>18</v>
      </c>
      <c r="B25" s="1">
        <v>450</v>
      </c>
      <c r="C25" s="1">
        <v>0.95</v>
      </c>
      <c r="D25" s="1">
        <v>160</v>
      </c>
      <c r="E25" s="16">
        <f t="shared" si="0"/>
        <v>68400</v>
      </c>
      <c r="F25" s="1">
        <v>267</v>
      </c>
      <c r="G25" s="1">
        <v>900</v>
      </c>
      <c r="H25" s="1">
        <v>410</v>
      </c>
      <c r="I25" s="7">
        <f t="shared" si="1"/>
        <v>54735</v>
      </c>
      <c r="J25" s="20">
        <f t="shared" si="2"/>
        <v>123135</v>
      </c>
      <c r="K25" s="7">
        <f t="shared" si="13"/>
        <v>273.63333333333333</v>
      </c>
      <c r="M25" s="10" t="s">
        <v>53</v>
      </c>
      <c r="N25" s="1"/>
      <c r="O25" s="1"/>
      <c r="P25" s="1"/>
      <c r="Q25" s="16"/>
      <c r="R25" s="1"/>
      <c r="S25" s="1"/>
      <c r="T25" s="1"/>
      <c r="U25" s="7"/>
      <c r="V25" s="20"/>
      <c r="W25" s="7"/>
    </row>
    <row r="26" spans="1:23">
      <c r="A26" s="11" t="s">
        <v>49</v>
      </c>
      <c r="B26" s="1">
        <v>480</v>
      </c>
      <c r="C26" s="1">
        <v>0.95</v>
      </c>
      <c r="D26" s="1">
        <v>160</v>
      </c>
      <c r="E26" s="16">
        <f t="shared" si="0"/>
        <v>72960</v>
      </c>
      <c r="F26" s="1">
        <v>288</v>
      </c>
      <c r="G26" s="1">
        <v>972</v>
      </c>
      <c r="H26" s="1">
        <v>410</v>
      </c>
      <c r="I26" s="7">
        <f t="shared" si="1"/>
        <v>58311.111111111117</v>
      </c>
      <c r="J26" s="20">
        <f t="shared" si="2"/>
        <v>131271.11111111112</v>
      </c>
      <c r="K26" s="7">
        <f t="shared" si="13"/>
        <v>273.48148148148152</v>
      </c>
      <c r="M26" s="11" t="s">
        <v>23</v>
      </c>
      <c r="N26" s="1">
        <v>316</v>
      </c>
      <c r="O26" s="1">
        <v>1.28</v>
      </c>
      <c r="P26" s="1">
        <v>160</v>
      </c>
      <c r="Q26" s="16">
        <f t="shared" si="4"/>
        <v>64716.800000000003</v>
      </c>
      <c r="R26" s="1">
        <v>273</v>
      </c>
      <c r="S26" s="1">
        <v>616</v>
      </c>
      <c r="T26" s="1">
        <v>410</v>
      </c>
      <c r="U26" s="7">
        <f t="shared" si="9"/>
        <v>57418.63636363636</v>
      </c>
      <c r="V26" s="20">
        <f t="shared" si="10"/>
        <v>122135.43636363637</v>
      </c>
      <c r="W26" s="7">
        <f t="shared" si="11"/>
        <v>386.50454545454545</v>
      </c>
    </row>
    <row r="27" spans="1:23">
      <c r="A27" s="10" t="s">
        <v>53</v>
      </c>
      <c r="B27" s="1"/>
      <c r="C27" s="1"/>
      <c r="D27" s="1"/>
      <c r="E27" s="16"/>
      <c r="F27" s="1"/>
      <c r="G27" s="1"/>
      <c r="H27" s="1"/>
      <c r="I27" s="7"/>
      <c r="J27" s="20"/>
      <c r="K27" s="7"/>
      <c r="M27" s="11" t="s">
        <v>28</v>
      </c>
      <c r="N27" s="1">
        <v>348</v>
      </c>
      <c r="O27" s="1">
        <v>1.28</v>
      </c>
      <c r="P27" s="1">
        <v>160</v>
      </c>
      <c r="Q27" s="16">
        <f t="shared" si="4"/>
        <v>71270.399999999994</v>
      </c>
      <c r="R27" s="1">
        <v>252</v>
      </c>
      <c r="S27" s="1">
        <v>648</v>
      </c>
      <c r="T27" s="1">
        <v>410</v>
      </c>
      <c r="U27" s="7">
        <f t="shared" si="9"/>
        <v>55486.666666666672</v>
      </c>
      <c r="V27" s="20">
        <f t="shared" si="10"/>
        <v>126757.06666666667</v>
      </c>
      <c r="W27" s="7">
        <f t="shared" si="11"/>
        <v>364.24444444444447</v>
      </c>
    </row>
    <row r="28" spans="1:23">
      <c r="A28" s="11" t="s">
        <v>23</v>
      </c>
      <c r="B28" s="1">
        <v>300</v>
      </c>
      <c r="C28" s="1">
        <v>1.28</v>
      </c>
      <c r="D28" s="1">
        <v>160</v>
      </c>
      <c r="E28" s="16">
        <f t="shared" si="0"/>
        <v>61440</v>
      </c>
      <c r="F28" s="1">
        <v>273</v>
      </c>
      <c r="G28" s="1">
        <v>616</v>
      </c>
      <c r="H28" s="1">
        <v>410</v>
      </c>
      <c r="I28" s="7">
        <f t="shared" si="1"/>
        <v>54511.363636363632</v>
      </c>
      <c r="J28" s="20">
        <f t="shared" si="2"/>
        <v>115951.36363636363</v>
      </c>
      <c r="K28" s="7">
        <f t="shared" si="13"/>
        <v>386.50454545454545</v>
      </c>
      <c r="M28" s="10" t="s">
        <v>54</v>
      </c>
      <c r="N28" s="1"/>
      <c r="O28" s="1"/>
      <c r="P28" s="1"/>
      <c r="Q28" s="16"/>
      <c r="R28" s="1"/>
      <c r="S28" s="1"/>
      <c r="T28" s="1"/>
      <c r="U28" s="7"/>
      <c r="V28" s="20"/>
      <c r="W28" s="7"/>
    </row>
    <row r="29" spans="1:23">
      <c r="A29" s="11" t="s">
        <v>28</v>
      </c>
      <c r="B29" s="1">
        <v>300</v>
      </c>
      <c r="C29" s="1">
        <v>1.28</v>
      </c>
      <c r="D29" s="1">
        <v>160</v>
      </c>
      <c r="E29" s="16">
        <f t="shared" si="0"/>
        <v>61440</v>
      </c>
      <c r="F29" s="1">
        <v>252</v>
      </c>
      <c r="G29" s="1">
        <v>648</v>
      </c>
      <c r="H29" s="1">
        <v>410</v>
      </c>
      <c r="I29" s="7">
        <f t="shared" si="1"/>
        <v>47833.333333333336</v>
      </c>
      <c r="J29" s="20">
        <f t="shared" si="2"/>
        <v>109273.33333333334</v>
      </c>
      <c r="K29" s="7">
        <f t="shared" si="13"/>
        <v>364.24444444444447</v>
      </c>
      <c r="M29" s="11" t="s">
        <v>28</v>
      </c>
      <c r="N29" s="1">
        <v>269</v>
      </c>
      <c r="O29" s="1">
        <v>1.82</v>
      </c>
      <c r="P29" s="1">
        <v>160</v>
      </c>
      <c r="Q29" s="16">
        <f t="shared" si="4"/>
        <v>78332.800000000003</v>
      </c>
      <c r="R29" s="1">
        <v>331.5</v>
      </c>
      <c r="S29" s="1">
        <v>509</v>
      </c>
      <c r="T29" s="1">
        <v>410</v>
      </c>
      <c r="U29" s="7">
        <f t="shared" si="9"/>
        <v>71829.341846758354</v>
      </c>
      <c r="V29" s="20">
        <f t="shared" si="10"/>
        <v>150162.14184675837</v>
      </c>
      <c r="W29" s="7">
        <f t="shared" si="11"/>
        <v>558.22357563850699</v>
      </c>
    </row>
    <row r="30" spans="1:23">
      <c r="A30" s="10" t="s">
        <v>54</v>
      </c>
      <c r="B30" s="1"/>
      <c r="C30" s="1"/>
      <c r="D30" s="1"/>
      <c r="E30" s="16"/>
      <c r="F30" s="1"/>
      <c r="G30" s="1"/>
      <c r="H30" s="1"/>
      <c r="I30" s="7"/>
      <c r="J30" s="20"/>
      <c r="K30" s="7"/>
      <c r="M30" s="11" t="s">
        <v>27</v>
      </c>
      <c r="N30" s="1">
        <v>403.5</v>
      </c>
      <c r="O30" s="1">
        <v>1.75</v>
      </c>
      <c r="P30" s="1">
        <v>160</v>
      </c>
      <c r="Q30" s="16">
        <f t="shared" si="4"/>
        <v>112980</v>
      </c>
      <c r="R30" s="1">
        <v>546</v>
      </c>
      <c r="S30" s="1">
        <v>823.5</v>
      </c>
      <c r="T30" s="1">
        <v>410</v>
      </c>
      <c r="U30" s="7">
        <f t="shared" si="9"/>
        <v>109687.32240437157</v>
      </c>
      <c r="V30" s="20">
        <f t="shared" si="10"/>
        <v>222667.32240437157</v>
      </c>
      <c r="W30" s="7">
        <f t="shared" si="11"/>
        <v>551.83970856101996</v>
      </c>
    </row>
    <row r="31" spans="1:23">
      <c r="A31" s="11" t="s">
        <v>28</v>
      </c>
      <c r="B31" s="1">
        <v>240</v>
      </c>
      <c r="C31" s="1">
        <v>1.82</v>
      </c>
      <c r="D31" s="1">
        <v>160</v>
      </c>
      <c r="E31" s="16">
        <f t="shared" si="0"/>
        <v>69888</v>
      </c>
      <c r="F31" s="1">
        <v>331.5</v>
      </c>
      <c r="G31" s="1">
        <v>509</v>
      </c>
      <c r="H31" s="1">
        <v>410</v>
      </c>
      <c r="I31" s="7">
        <f t="shared" si="1"/>
        <v>64085.658153241653</v>
      </c>
      <c r="J31" s="20">
        <f t="shared" si="2"/>
        <v>133973.65815324165</v>
      </c>
      <c r="K31" s="7">
        <f t="shared" si="13"/>
        <v>558.22357563850687</v>
      </c>
      <c r="M31" s="10" t="s">
        <v>55</v>
      </c>
      <c r="N31" s="1"/>
      <c r="O31" s="1"/>
      <c r="P31" s="1"/>
      <c r="Q31" s="16"/>
      <c r="R31" s="1"/>
      <c r="S31" s="1"/>
      <c r="T31" s="1"/>
      <c r="U31" s="7"/>
      <c r="V31" s="20"/>
      <c r="W31" s="7"/>
    </row>
    <row r="32" spans="1:23">
      <c r="A32" s="11" t="s">
        <v>27</v>
      </c>
      <c r="B32" s="1">
        <v>420</v>
      </c>
      <c r="C32" s="1">
        <v>1.75</v>
      </c>
      <c r="D32" s="1">
        <v>160</v>
      </c>
      <c r="E32" s="16">
        <f t="shared" si="0"/>
        <v>117600</v>
      </c>
      <c r="F32" s="1">
        <v>546</v>
      </c>
      <c r="G32" s="1">
        <v>823.5</v>
      </c>
      <c r="H32" s="1">
        <v>410</v>
      </c>
      <c r="I32" s="7">
        <f t="shared" si="1"/>
        <v>114172.67759562843</v>
      </c>
      <c r="J32" s="20">
        <f t="shared" si="2"/>
        <v>231772.67759562843</v>
      </c>
      <c r="K32" s="7">
        <f t="shared" si="13"/>
        <v>551.83970856102007</v>
      </c>
      <c r="M32" s="11" t="s">
        <v>56</v>
      </c>
      <c r="N32" s="1">
        <v>781</v>
      </c>
      <c r="O32" s="1">
        <v>1.34</v>
      </c>
      <c r="P32" s="1">
        <v>160</v>
      </c>
      <c r="Q32" s="16">
        <f t="shared" si="4"/>
        <v>167446.39999999999</v>
      </c>
      <c r="R32" s="1">
        <v>509.6</v>
      </c>
      <c r="S32" s="1">
        <v>1561</v>
      </c>
      <c r="T32" s="1">
        <v>410</v>
      </c>
      <c r="U32" s="7">
        <f t="shared" si="9"/>
        <v>104534.92376681615</v>
      </c>
      <c r="V32" s="20">
        <f t="shared" si="10"/>
        <v>271981.32376681617</v>
      </c>
      <c r="W32" s="7">
        <f t="shared" si="11"/>
        <v>348.24753363228706</v>
      </c>
    </row>
    <row r="33" spans="1:23">
      <c r="A33" s="10" t="s">
        <v>55</v>
      </c>
      <c r="B33" s="1"/>
      <c r="C33" s="1"/>
      <c r="D33" s="1"/>
      <c r="E33" s="16"/>
      <c r="F33" s="1"/>
      <c r="G33" s="1"/>
      <c r="H33" s="1"/>
      <c r="I33" s="7"/>
      <c r="J33" s="20"/>
      <c r="K33" s="7"/>
      <c r="M33" s="11" t="s">
        <v>27</v>
      </c>
      <c r="N33" s="1">
        <v>215.5</v>
      </c>
      <c r="O33" s="1">
        <v>1.34</v>
      </c>
      <c r="P33" s="1">
        <v>160</v>
      </c>
      <c r="Q33" s="16">
        <f t="shared" si="4"/>
        <v>46203.200000000004</v>
      </c>
      <c r="R33" s="1">
        <v>138.6</v>
      </c>
      <c r="S33" s="1">
        <v>425.5</v>
      </c>
      <c r="T33" s="1">
        <v>410</v>
      </c>
      <c r="U33" s="7">
        <f t="shared" si="9"/>
        <v>28780.265569917745</v>
      </c>
      <c r="V33" s="20">
        <f t="shared" si="10"/>
        <v>74983.465569917753</v>
      </c>
      <c r="W33" s="7">
        <f t="shared" si="11"/>
        <v>347.95111633372505</v>
      </c>
    </row>
    <row r="34" spans="1:23">
      <c r="A34" s="11" t="s">
        <v>56</v>
      </c>
      <c r="B34" s="1">
        <v>780</v>
      </c>
      <c r="C34" s="1">
        <v>1.34</v>
      </c>
      <c r="D34" s="1">
        <v>160</v>
      </c>
      <c r="E34" s="16">
        <f t="shared" si="0"/>
        <v>167232</v>
      </c>
      <c r="F34" s="1">
        <v>509.6</v>
      </c>
      <c r="G34" s="1">
        <v>1561</v>
      </c>
      <c r="H34" s="1">
        <v>410</v>
      </c>
      <c r="I34" s="7">
        <f t="shared" si="1"/>
        <v>104401.07623318386</v>
      </c>
      <c r="J34" s="20">
        <f t="shared" si="2"/>
        <v>271633.07623318385</v>
      </c>
      <c r="K34" s="7">
        <f t="shared" si="13"/>
        <v>348.247533632287</v>
      </c>
      <c r="M34" s="11" t="s">
        <v>28</v>
      </c>
      <c r="N34" s="1">
        <v>219</v>
      </c>
      <c r="O34" s="1">
        <v>1.45</v>
      </c>
      <c r="P34" s="1">
        <v>160</v>
      </c>
      <c r="Q34" s="16">
        <f t="shared" si="4"/>
        <v>50808</v>
      </c>
      <c r="R34" s="1">
        <v>142.5</v>
      </c>
      <c r="S34" s="1">
        <v>459</v>
      </c>
      <c r="T34" s="1">
        <v>410</v>
      </c>
      <c r="U34" s="7">
        <f t="shared" si="9"/>
        <v>27875.98039215686</v>
      </c>
      <c r="V34" s="20">
        <f t="shared" si="10"/>
        <v>78683.980392156867</v>
      </c>
      <c r="W34" s="7">
        <f t="shared" si="11"/>
        <v>359.28758169934645</v>
      </c>
    </row>
    <row r="35" spans="1:23">
      <c r="A35" s="11" t="s">
        <v>27</v>
      </c>
      <c r="B35" s="1">
        <v>210</v>
      </c>
      <c r="C35" s="1">
        <v>1.34</v>
      </c>
      <c r="D35" s="1">
        <v>160</v>
      </c>
      <c r="E35" s="16">
        <f t="shared" si="0"/>
        <v>45024.000000000007</v>
      </c>
      <c r="F35" s="1">
        <v>138.6</v>
      </c>
      <c r="G35" s="1">
        <v>425.5</v>
      </c>
      <c r="H35" s="1">
        <v>410</v>
      </c>
      <c r="I35" s="7">
        <f t="shared" si="1"/>
        <v>28045.734430082259</v>
      </c>
      <c r="J35" s="20">
        <f t="shared" si="2"/>
        <v>73069.734430082259</v>
      </c>
      <c r="K35" s="7">
        <f t="shared" si="13"/>
        <v>347.95111633372505</v>
      </c>
      <c r="M35" s="11" t="s">
        <v>19</v>
      </c>
      <c r="N35" s="1">
        <v>214</v>
      </c>
      <c r="O35" s="1">
        <v>1.45</v>
      </c>
      <c r="P35" s="1">
        <v>160</v>
      </c>
      <c r="Q35" s="16">
        <f t="shared" si="4"/>
        <v>49648</v>
      </c>
      <c r="R35" s="1">
        <v>130.19999999999999</v>
      </c>
      <c r="S35" s="1">
        <v>424</v>
      </c>
      <c r="T35" s="1">
        <v>410</v>
      </c>
      <c r="U35" s="7">
        <f t="shared" si="9"/>
        <v>26942.801886792451</v>
      </c>
      <c r="V35" s="20">
        <f t="shared" si="10"/>
        <v>76590.801886792455</v>
      </c>
      <c r="W35" s="1">
        <f t="shared" si="11"/>
        <v>357.90094339622641</v>
      </c>
    </row>
    <row r="36" spans="1:23">
      <c r="A36" s="11" t="s">
        <v>28</v>
      </c>
      <c r="B36" s="1">
        <v>240</v>
      </c>
      <c r="C36" s="1">
        <v>1.45</v>
      </c>
      <c r="D36" s="1">
        <v>160</v>
      </c>
      <c r="E36" s="16">
        <f t="shared" si="0"/>
        <v>55680</v>
      </c>
      <c r="F36" s="1">
        <v>142.5</v>
      </c>
      <c r="G36" s="1">
        <v>459</v>
      </c>
      <c r="H36" s="1">
        <v>410</v>
      </c>
      <c r="I36" s="7">
        <f t="shared" si="1"/>
        <v>30549.01960784314</v>
      </c>
      <c r="J36" s="20">
        <f t="shared" si="2"/>
        <v>86229.019607843133</v>
      </c>
      <c r="K36" s="7">
        <f t="shared" si="13"/>
        <v>359.28758169934639</v>
      </c>
      <c r="M36" s="10" t="s">
        <v>57</v>
      </c>
      <c r="N36" s="1">
        <v>352</v>
      </c>
      <c r="O36" s="1">
        <v>3.26</v>
      </c>
      <c r="P36" s="1">
        <v>160</v>
      </c>
      <c r="Q36" s="16">
        <f t="shared" si="4"/>
        <v>183603.20000000001</v>
      </c>
      <c r="R36" s="1">
        <v>850</v>
      </c>
      <c r="S36" s="1">
        <v>702</v>
      </c>
      <c r="T36" s="1">
        <v>410</v>
      </c>
      <c r="U36" s="7">
        <f t="shared" si="9"/>
        <v>174746.43874643874</v>
      </c>
      <c r="V36" s="20">
        <f t="shared" si="10"/>
        <v>358349.63874643878</v>
      </c>
      <c r="W36" s="1">
        <f t="shared" si="11"/>
        <v>1018.0387464387466</v>
      </c>
    </row>
    <row r="37" spans="1:23">
      <c r="A37" s="11" t="s">
        <v>19</v>
      </c>
      <c r="B37" s="1">
        <v>210</v>
      </c>
      <c r="C37" s="1">
        <v>1.45</v>
      </c>
      <c r="D37" s="1">
        <v>160</v>
      </c>
      <c r="E37" s="16">
        <f t="shared" si="0"/>
        <v>48720</v>
      </c>
      <c r="F37" s="1">
        <v>130.19999999999999</v>
      </c>
      <c r="G37" s="1">
        <v>424</v>
      </c>
      <c r="H37" s="1">
        <v>410</v>
      </c>
      <c r="I37" s="7">
        <f t="shared" si="1"/>
        <v>26439.198113207545</v>
      </c>
      <c r="J37" s="20">
        <f t="shared" si="2"/>
        <v>75159.198113207545</v>
      </c>
      <c r="K37" s="7">
        <f t="shared" si="13"/>
        <v>357.90094339622641</v>
      </c>
      <c r="M37" s="10" t="s">
        <v>58</v>
      </c>
      <c r="N37" s="1">
        <v>425</v>
      </c>
      <c r="O37" s="1">
        <v>1.87</v>
      </c>
      <c r="P37" s="1">
        <v>160</v>
      </c>
      <c r="Q37" s="16">
        <f t="shared" si="4"/>
        <v>127160</v>
      </c>
      <c r="R37" s="1">
        <v>350</v>
      </c>
      <c r="S37" s="1">
        <v>850</v>
      </c>
      <c r="T37" s="1">
        <v>410</v>
      </c>
      <c r="U37" s="7">
        <f t="shared" si="9"/>
        <v>71750</v>
      </c>
      <c r="V37" s="20">
        <f t="shared" si="10"/>
        <v>198910</v>
      </c>
      <c r="W37" s="1">
        <f t="shared" si="11"/>
        <v>468.02352941176468</v>
      </c>
    </row>
    <row r="38" spans="1:23">
      <c r="A38" s="10" t="s">
        <v>57</v>
      </c>
      <c r="B38" s="1">
        <v>350</v>
      </c>
      <c r="C38" s="1">
        <v>3.26</v>
      </c>
      <c r="D38" s="1">
        <v>160</v>
      </c>
      <c r="E38" s="16">
        <f t="shared" si="0"/>
        <v>182560</v>
      </c>
      <c r="F38" s="1">
        <v>850</v>
      </c>
      <c r="G38" s="1">
        <v>702</v>
      </c>
      <c r="H38" s="1">
        <v>410</v>
      </c>
      <c r="I38" s="7">
        <f t="shared" si="1"/>
        <v>173753.56125356126</v>
      </c>
      <c r="J38" s="20">
        <f t="shared" si="2"/>
        <v>356313.56125356129</v>
      </c>
      <c r="K38" s="7">
        <f t="shared" si="13"/>
        <v>1018.0387464387466</v>
      </c>
      <c r="M38" s="10" t="s">
        <v>62</v>
      </c>
      <c r="N38" s="1"/>
      <c r="O38" s="1"/>
      <c r="P38" s="1"/>
      <c r="Q38" s="16">
        <f t="shared" si="4"/>
        <v>0</v>
      </c>
      <c r="R38" s="1"/>
      <c r="S38" s="1"/>
      <c r="T38" s="1"/>
      <c r="U38" s="7"/>
      <c r="V38" s="20"/>
      <c r="W38" s="1"/>
    </row>
    <row r="39" spans="1:23">
      <c r="A39" s="10" t="s">
        <v>58</v>
      </c>
      <c r="B39" s="1">
        <v>425</v>
      </c>
      <c r="C39" s="1">
        <v>1.87</v>
      </c>
      <c r="D39" s="1">
        <v>160</v>
      </c>
      <c r="E39" s="16">
        <f t="shared" si="0"/>
        <v>127160</v>
      </c>
      <c r="F39" s="1">
        <v>350</v>
      </c>
      <c r="G39" s="1">
        <v>850</v>
      </c>
      <c r="H39" s="1">
        <v>410</v>
      </c>
      <c r="I39" s="7">
        <f t="shared" si="1"/>
        <v>71750</v>
      </c>
      <c r="J39" s="20">
        <f t="shared" si="2"/>
        <v>198910</v>
      </c>
      <c r="K39" s="7">
        <f t="shared" si="13"/>
        <v>468.02352941176468</v>
      </c>
      <c r="M39" s="25" t="s">
        <v>11</v>
      </c>
      <c r="N39" s="1">
        <v>322</v>
      </c>
      <c r="O39" s="1">
        <v>1.84</v>
      </c>
      <c r="P39" s="1">
        <v>160</v>
      </c>
      <c r="Q39" s="16">
        <f t="shared" si="4"/>
        <v>94796.800000000003</v>
      </c>
      <c r="R39" s="1">
        <v>123.2</v>
      </c>
      <c r="S39" s="1">
        <v>322</v>
      </c>
      <c r="T39" s="1">
        <v>410</v>
      </c>
      <c r="U39" s="7">
        <f t="shared" si="9"/>
        <v>50512</v>
      </c>
      <c r="V39" s="20">
        <f t="shared" si="10"/>
        <v>145308.79999999999</v>
      </c>
      <c r="W39" s="1">
        <f t="shared" si="11"/>
        <v>451.26956521739129</v>
      </c>
    </row>
    <row r="40" spans="1:23">
      <c r="A40" s="9" t="s">
        <v>9</v>
      </c>
      <c r="B40" s="9">
        <f>SUM(B4:B39)</f>
        <v>15502.5</v>
      </c>
      <c r="C40" s="1"/>
      <c r="D40" s="1"/>
      <c r="E40" s="16">
        <f>SUM(E4:E39)</f>
        <v>3097969.6</v>
      </c>
      <c r="F40" s="1"/>
      <c r="G40" s="2">
        <f>SUM(G4:G39)</f>
        <v>29615</v>
      </c>
      <c r="H40" s="1"/>
      <c r="I40" s="27">
        <f>SUM(I4:I39)</f>
        <v>2514827.2690633591</v>
      </c>
      <c r="J40" s="12">
        <f>SUM(J4:J39)</f>
        <v>5612796.8690633606</v>
      </c>
      <c r="K40" s="1"/>
      <c r="M40" s="25" t="s">
        <v>63</v>
      </c>
      <c r="N40" s="1">
        <v>403</v>
      </c>
      <c r="O40" s="1">
        <v>1.84</v>
      </c>
      <c r="P40" s="1">
        <v>160</v>
      </c>
      <c r="Q40" s="16">
        <f t="shared" si="4"/>
        <v>118643.2</v>
      </c>
      <c r="R40" s="1">
        <v>161</v>
      </c>
      <c r="S40" s="1">
        <v>403</v>
      </c>
      <c r="T40" s="1">
        <v>410</v>
      </c>
      <c r="U40" s="7">
        <f t="shared" si="9"/>
        <v>66010</v>
      </c>
      <c r="V40" s="20">
        <f t="shared" si="10"/>
        <v>184653.2</v>
      </c>
      <c r="W40" s="1">
        <f t="shared" si="11"/>
        <v>458.19652605459061</v>
      </c>
    </row>
    <row r="41" spans="1:23">
      <c r="M41" s="25" t="s">
        <v>23</v>
      </c>
      <c r="N41" s="1">
        <v>408</v>
      </c>
      <c r="O41" s="1">
        <v>1.84</v>
      </c>
      <c r="P41" s="1">
        <v>160</v>
      </c>
      <c r="Q41" s="16">
        <f t="shared" si="4"/>
        <v>120115.20000000001</v>
      </c>
      <c r="R41" s="1">
        <v>161</v>
      </c>
      <c r="S41" s="1">
        <v>408</v>
      </c>
      <c r="T41" s="1">
        <v>410</v>
      </c>
      <c r="U41" s="7">
        <f t="shared" si="9"/>
        <v>66010</v>
      </c>
      <c r="V41" s="20">
        <f t="shared" si="10"/>
        <v>186125.2</v>
      </c>
      <c r="W41" s="1">
        <f t="shared" si="11"/>
        <v>456.18921568627457</v>
      </c>
    </row>
    <row r="42" spans="1:23">
      <c r="M42" s="25" t="s">
        <v>48</v>
      </c>
      <c r="N42" s="1">
        <v>935</v>
      </c>
      <c r="O42" s="1">
        <v>1.84</v>
      </c>
      <c r="P42" s="1">
        <v>160</v>
      </c>
      <c r="Q42" s="16">
        <f t="shared" si="4"/>
        <v>275264</v>
      </c>
      <c r="R42" s="1">
        <v>356.5</v>
      </c>
      <c r="S42" s="1">
        <v>935</v>
      </c>
      <c r="T42" s="1">
        <v>410</v>
      </c>
      <c r="U42" s="7">
        <f t="shared" si="9"/>
        <v>146165</v>
      </c>
      <c r="V42" s="20">
        <f t="shared" si="10"/>
        <v>421429</v>
      </c>
      <c r="W42" s="1">
        <f t="shared" si="11"/>
        <v>450.72620320855617</v>
      </c>
    </row>
    <row r="43" spans="1:23">
      <c r="M43" s="25" t="s">
        <v>28</v>
      </c>
      <c r="N43" s="1">
        <v>616</v>
      </c>
      <c r="O43" s="1">
        <v>1.84</v>
      </c>
      <c r="P43" s="1">
        <v>160</v>
      </c>
      <c r="Q43" s="16">
        <f t="shared" si="4"/>
        <v>181350.40000000002</v>
      </c>
      <c r="R43" s="1">
        <v>237.4</v>
      </c>
      <c r="S43" s="1">
        <v>616</v>
      </c>
      <c r="T43" s="1">
        <v>410</v>
      </c>
      <c r="U43" s="7">
        <f t="shared" si="9"/>
        <v>97334</v>
      </c>
      <c r="V43" s="20">
        <f t="shared" si="10"/>
        <v>278684.40000000002</v>
      </c>
      <c r="W43" s="1">
        <f t="shared" si="11"/>
        <v>452.40974025974032</v>
      </c>
    </row>
    <row r="44" spans="1:23">
      <c r="M44" s="28" t="s">
        <v>59</v>
      </c>
      <c r="N44" s="26">
        <v>1054</v>
      </c>
      <c r="O44" s="1">
        <v>1.1499999999999999</v>
      </c>
      <c r="P44" s="1">
        <v>160</v>
      </c>
      <c r="Q44" s="16">
        <f t="shared" si="4"/>
        <v>193936</v>
      </c>
      <c r="R44" s="1">
        <v>378</v>
      </c>
      <c r="S44" s="1">
        <v>1054</v>
      </c>
      <c r="T44" s="1">
        <v>410</v>
      </c>
      <c r="U44" s="7">
        <f t="shared" si="9"/>
        <v>154980</v>
      </c>
      <c r="V44" s="20">
        <f t="shared" si="10"/>
        <v>348916</v>
      </c>
      <c r="W44" s="1">
        <f t="shared" si="11"/>
        <v>331.03984819734347</v>
      </c>
    </row>
    <row r="45" spans="1:23">
      <c r="M45" s="21" t="s">
        <v>9</v>
      </c>
      <c r="N45" s="22">
        <f>SUM(N4:N44)</f>
        <v>17850.5</v>
      </c>
      <c r="O45" s="1"/>
      <c r="P45" s="1"/>
      <c r="Q45" s="12">
        <f>SUM(Q4:Q34)</f>
        <v>2489602.4</v>
      </c>
      <c r="R45" s="1"/>
      <c r="S45" s="2">
        <f>SUM(S4:S44)</f>
        <v>31954</v>
      </c>
      <c r="T45" s="1"/>
      <c r="U45" s="27">
        <f>SUM(U4:U44)</f>
        <v>2919801.5945484191</v>
      </c>
      <c r="V45" s="12">
        <f>SUM(V4:V44)</f>
        <v>6753920.7945484193</v>
      </c>
      <c r="W45" s="1"/>
    </row>
  </sheetData>
  <mergeCells count="2">
    <mergeCell ref="A1:K1"/>
    <mergeCell ref="M1:W1"/>
  </mergeCells>
  <pageMargins left="0.38" right="0.15" top="0.67" bottom="0.28999999999999998" header="0.15" footer="0.14000000000000001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A2" sqref="A2"/>
    </sheetView>
  </sheetViews>
  <sheetFormatPr defaultRowHeight="15"/>
  <cols>
    <col min="2" max="2" width="24.42578125" customWidth="1"/>
  </cols>
  <sheetData>
    <row r="1" spans="1:13" ht="28.5">
      <c r="A1" s="605" t="s">
        <v>350</v>
      </c>
      <c r="B1" s="605"/>
      <c r="C1" s="605"/>
      <c r="D1" s="605"/>
      <c r="E1" s="605"/>
      <c r="F1" s="605"/>
      <c r="G1" s="605"/>
      <c r="H1" s="605"/>
      <c r="I1" s="605"/>
      <c r="J1" s="605"/>
      <c r="K1" s="478">
        <v>45421</v>
      </c>
      <c r="L1" s="101" t="s">
        <v>396</v>
      </c>
      <c r="M1" s="82"/>
    </row>
    <row r="2" spans="1:13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3" t="s">
        <v>125</v>
      </c>
    </row>
    <row r="3" spans="1:13" ht="15" customHeight="1">
      <c r="A3" s="476" t="s">
        <v>240</v>
      </c>
      <c r="B3" s="476" t="s">
        <v>101</v>
      </c>
      <c r="C3" s="476">
        <v>1566</v>
      </c>
      <c r="D3" s="195">
        <v>1.03</v>
      </c>
      <c r="E3" s="474">
        <v>281</v>
      </c>
      <c r="F3" s="107">
        <f>C3*D3*E3</f>
        <v>453247.38</v>
      </c>
      <c r="G3" s="483">
        <v>720</v>
      </c>
      <c r="H3" s="476">
        <v>1566</v>
      </c>
      <c r="I3" s="474">
        <v>690</v>
      </c>
      <c r="J3" s="474">
        <f>G3/H3*SUM(C3:C3)*I3</f>
        <v>496800</v>
      </c>
      <c r="K3" s="473">
        <f>J3+SUM(F3:F3)</f>
        <v>950047.38</v>
      </c>
      <c r="L3" s="473">
        <f>K3/SUM(C3:C3)</f>
        <v>606.67137931034483</v>
      </c>
      <c r="M3" s="486">
        <v>52</v>
      </c>
    </row>
    <row r="4" spans="1:13">
      <c r="A4" s="624" t="s">
        <v>238</v>
      </c>
      <c r="B4" s="476" t="s">
        <v>101</v>
      </c>
      <c r="C4" s="476">
        <v>1830</v>
      </c>
      <c r="D4" s="195">
        <v>1.1000000000000001</v>
      </c>
      <c r="E4" s="474">
        <v>281</v>
      </c>
      <c r="F4" s="107">
        <f t="shared" ref="F4:F50" si="0">C4*D4*E4</f>
        <v>565653.00000000012</v>
      </c>
      <c r="G4" s="624">
        <v>1770</v>
      </c>
      <c r="H4" s="624">
        <v>3579</v>
      </c>
      <c r="I4" s="590">
        <v>690</v>
      </c>
      <c r="J4" s="590">
        <f>G4/H4*SUM(C4:C5)*I4</f>
        <v>1221300</v>
      </c>
      <c r="K4" s="582">
        <f>J4+SUM(F4:F5)</f>
        <v>2327568.9000000004</v>
      </c>
      <c r="L4" s="582">
        <f>K4/SUM(C4:C5)</f>
        <v>650.34056999161783</v>
      </c>
      <c r="M4" s="486">
        <v>61</v>
      </c>
    </row>
    <row r="5" spans="1:13">
      <c r="A5" s="624"/>
      <c r="B5" s="476" t="s">
        <v>245</v>
      </c>
      <c r="C5" s="476">
        <v>1749</v>
      </c>
      <c r="D5" s="195">
        <v>1.1000000000000001</v>
      </c>
      <c r="E5" s="474">
        <v>281</v>
      </c>
      <c r="F5" s="107">
        <f t="shared" si="0"/>
        <v>540615.9</v>
      </c>
      <c r="G5" s="624"/>
      <c r="H5" s="624"/>
      <c r="I5" s="590"/>
      <c r="J5" s="590"/>
      <c r="K5" s="582"/>
      <c r="L5" s="582"/>
      <c r="M5" s="486">
        <v>58</v>
      </c>
    </row>
    <row r="6" spans="1:13" ht="15" customHeight="1">
      <c r="A6" s="624" t="s">
        <v>386</v>
      </c>
      <c r="B6" s="476" t="s">
        <v>282</v>
      </c>
      <c r="C6" s="476">
        <v>2130</v>
      </c>
      <c r="D6" s="195">
        <v>0.98</v>
      </c>
      <c r="E6" s="474">
        <v>281</v>
      </c>
      <c r="F6" s="107">
        <f t="shared" si="0"/>
        <v>586559.4</v>
      </c>
      <c r="G6" s="640">
        <v>2818</v>
      </c>
      <c r="H6" s="624">
        <v>6247</v>
      </c>
      <c r="I6" s="590">
        <v>690</v>
      </c>
      <c r="J6" s="590">
        <f>G6/H6*SUM(C6:C10)*I6</f>
        <v>1944420</v>
      </c>
      <c r="K6" s="582">
        <f>J6+SUM(F6:F10)</f>
        <v>3677715.1100000003</v>
      </c>
      <c r="L6" s="582">
        <f>K6/SUM(C6:C10)</f>
        <v>588.71700176084528</v>
      </c>
      <c r="M6" s="486">
        <v>71</v>
      </c>
    </row>
    <row r="7" spans="1:13">
      <c r="A7" s="624"/>
      <c r="B7" s="476" t="s">
        <v>241</v>
      </c>
      <c r="C7" s="476">
        <v>1590</v>
      </c>
      <c r="D7" s="195">
        <v>0.98</v>
      </c>
      <c r="E7" s="474">
        <v>281</v>
      </c>
      <c r="F7" s="107">
        <f t="shared" si="0"/>
        <v>437854.2</v>
      </c>
      <c r="G7" s="640"/>
      <c r="H7" s="624"/>
      <c r="I7" s="590"/>
      <c r="J7" s="590"/>
      <c r="K7" s="582"/>
      <c r="L7" s="582"/>
      <c r="M7" s="486">
        <v>53</v>
      </c>
    </row>
    <row r="8" spans="1:13">
      <c r="A8" s="624"/>
      <c r="B8" s="476" t="s">
        <v>95</v>
      </c>
      <c r="C8" s="476">
        <v>732</v>
      </c>
      <c r="D8" s="195">
        <v>0.98</v>
      </c>
      <c r="E8" s="474">
        <v>281</v>
      </c>
      <c r="F8" s="107">
        <f t="shared" si="0"/>
        <v>201578.16</v>
      </c>
      <c r="G8" s="640"/>
      <c r="H8" s="624"/>
      <c r="I8" s="590"/>
      <c r="J8" s="590"/>
      <c r="K8" s="582"/>
      <c r="L8" s="582"/>
      <c r="M8" s="486">
        <v>25</v>
      </c>
    </row>
    <row r="9" spans="1:13">
      <c r="A9" s="624"/>
      <c r="B9" s="476" t="s">
        <v>281</v>
      </c>
      <c r="C9" s="476">
        <v>870</v>
      </c>
      <c r="D9" s="195">
        <v>0.98</v>
      </c>
      <c r="E9" s="474">
        <v>281</v>
      </c>
      <c r="F9" s="107">
        <f t="shared" si="0"/>
        <v>239580.6</v>
      </c>
      <c r="G9" s="640"/>
      <c r="H9" s="624"/>
      <c r="I9" s="590"/>
      <c r="J9" s="590"/>
      <c r="K9" s="582"/>
      <c r="L9" s="582"/>
      <c r="M9" s="486">
        <v>29</v>
      </c>
    </row>
    <row r="10" spans="1:13">
      <c r="A10" s="624"/>
      <c r="B10" s="476" t="s">
        <v>390</v>
      </c>
      <c r="C10" s="476">
        <v>925</v>
      </c>
      <c r="D10" s="195">
        <v>1.03</v>
      </c>
      <c r="E10" s="474">
        <v>281</v>
      </c>
      <c r="F10" s="107">
        <f t="shared" si="0"/>
        <v>267722.75</v>
      </c>
      <c r="G10" s="640"/>
      <c r="H10" s="624"/>
      <c r="I10" s="590"/>
      <c r="J10" s="590"/>
      <c r="K10" s="582"/>
      <c r="L10" s="582"/>
      <c r="M10" s="486">
        <v>31</v>
      </c>
    </row>
    <row r="11" spans="1:13">
      <c r="A11" s="624" t="s">
        <v>387</v>
      </c>
      <c r="B11" s="476" t="s">
        <v>391</v>
      </c>
      <c r="C11" s="476">
        <v>930</v>
      </c>
      <c r="D11" s="195">
        <v>1.1000000000000001</v>
      </c>
      <c r="E11" s="474">
        <v>281</v>
      </c>
      <c r="F11" s="107">
        <f t="shared" si="0"/>
        <v>287463.00000000006</v>
      </c>
      <c r="G11" s="640">
        <v>2095</v>
      </c>
      <c r="H11" s="640">
        <v>4215</v>
      </c>
      <c r="I11" s="590">
        <v>690</v>
      </c>
      <c r="J11" s="590">
        <f>G11/H11*SUM(C11:C14)*I11</f>
        <v>1445550</v>
      </c>
      <c r="K11" s="582">
        <f>J11+SUM(F11:F14)</f>
        <v>2748406.5</v>
      </c>
      <c r="L11" s="582">
        <f>K11/SUM(C11:C14)</f>
        <v>652.05373665480431</v>
      </c>
      <c r="M11" s="486">
        <v>31</v>
      </c>
    </row>
    <row r="12" spans="1:13">
      <c r="A12" s="624"/>
      <c r="B12" s="476" t="s">
        <v>390</v>
      </c>
      <c r="C12" s="476">
        <v>1682</v>
      </c>
      <c r="D12" s="195">
        <v>1.1000000000000001</v>
      </c>
      <c r="E12" s="474">
        <v>281</v>
      </c>
      <c r="F12" s="107">
        <f t="shared" si="0"/>
        <v>519906.2</v>
      </c>
      <c r="G12" s="640"/>
      <c r="H12" s="640"/>
      <c r="I12" s="590"/>
      <c r="J12" s="590"/>
      <c r="K12" s="582"/>
      <c r="L12" s="582"/>
      <c r="M12" s="486">
        <v>56</v>
      </c>
    </row>
    <row r="13" spans="1:13">
      <c r="A13" s="624"/>
      <c r="B13" s="476" t="s">
        <v>397</v>
      </c>
      <c r="C13" s="476">
        <v>900</v>
      </c>
      <c r="D13" s="195">
        <v>1.1000000000000001</v>
      </c>
      <c r="E13" s="474">
        <v>281</v>
      </c>
      <c r="F13" s="107">
        <f t="shared" si="0"/>
        <v>278190.00000000006</v>
      </c>
      <c r="G13" s="640"/>
      <c r="H13" s="640"/>
      <c r="I13" s="590"/>
      <c r="J13" s="590"/>
      <c r="K13" s="582"/>
      <c r="L13" s="582"/>
      <c r="M13" s="486">
        <v>30</v>
      </c>
    </row>
    <row r="14" spans="1:13">
      <c r="A14" s="624"/>
      <c r="B14" s="476" t="s">
        <v>398</v>
      </c>
      <c r="C14" s="476">
        <v>703</v>
      </c>
      <c r="D14" s="195">
        <v>1.1000000000000001</v>
      </c>
      <c r="E14" s="474">
        <v>281</v>
      </c>
      <c r="F14" s="107">
        <f t="shared" si="0"/>
        <v>217297.30000000002</v>
      </c>
      <c r="G14" s="640"/>
      <c r="H14" s="640"/>
      <c r="I14" s="590"/>
      <c r="J14" s="590"/>
      <c r="K14" s="582"/>
      <c r="L14" s="582"/>
      <c r="M14" s="486">
        <v>23</v>
      </c>
    </row>
    <row r="15" spans="1:13">
      <c r="A15" s="624" t="s">
        <v>240</v>
      </c>
      <c r="B15" s="476" t="s">
        <v>112</v>
      </c>
      <c r="C15" s="476">
        <v>999</v>
      </c>
      <c r="D15" s="195">
        <v>0.9</v>
      </c>
      <c r="E15" s="474">
        <v>281</v>
      </c>
      <c r="F15" s="107">
        <f t="shared" si="0"/>
        <v>252647.1</v>
      </c>
      <c r="G15" s="616">
        <v>2710</v>
      </c>
      <c r="H15" s="640">
        <v>6051</v>
      </c>
      <c r="I15" s="590">
        <v>690</v>
      </c>
      <c r="J15" s="590">
        <f>G15/H15*SUM(C15:C19)*I15</f>
        <v>1869900</v>
      </c>
      <c r="K15" s="582">
        <f>J15+SUM(F15:F19)</f>
        <v>3400197.9000000004</v>
      </c>
      <c r="L15" s="582">
        <f>K15/SUM(C15:C19)</f>
        <v>561.92330193356474</v>
      </c>
      <c r="M15" s="486">
        <v>33</v>
      </c>
    </row>
    <row r="16" spans="1:13">
      <c r="A16" s="624"/>
      <c r="B16" s="476" t="s">
        <v>392</v>
      </c>
      <c r="C16" s="476">
        <v>1552</v>
      </c>
      <c r="D16" s="195">
        <v>0.9</v>
      </c>
      <c r="E16" s="474">
        <v>281</v>
      </c>
      <c r="F16" s="107">
        <f t="shared" si="0"/>
        <v>392500.8</v>
      </c>
      <c r="G16" s="616"/>
      <c r="H16" s="640"/>
      <c r="I16" s="590"/>
      <c r="J16" s="590"/>
      <c r="K16" s="582"/>
      <c r="L16" s="582"/>
      <c r="M16" s="486">
        <v>51</v>
      </c>
    </row>
    <row r="17" spans="1:13">
      <c r="A17" s="624"/>
      <c r="B17" s="476" t="s">
        <v>95</v>
      </c>
      <c r="C17" s="476">
        <v>1462</v>
      </c>
      <c r="D17" s="195">
        <v>0.9</v>
      </c>
      <c r="E17" s="474">
        <v>281</v>
      </c>
      <c r="F17" s="107">
        <f t="shared" si="0"/>
        <v>369739.8</v>
      </c>
      <c r="G17" s="616"/>
      <c r="H17" s="640"/>
      <c r="I17" s="590"/>
      <c r="J17" s="590"/>
      <c r="K17" s="582"/>
      <c r="L17" s="582"/>
      <c r="M17" s="486">
        <v>49</v>
      </c>
    </row>
    <row r="18" spans="1:13">
      <c r="A18" s="624"/>
      <c r="B18" s="476" t="s">
        <v>329</v>
      </c>
      <c r="C18" s="476">
        <v>1109</v>
      </c>
      <c r="D18" s="195">
        <v>0.9</v>
      </c>
      <c r="E18" s="474">
        <v>281</v>
      </c>
      <c r="F18" s="107">
        <f t="shared" si="0"/>
        <v>280466.10000000003</v>
      </c>
      <c r="G18" s="616"/>
      <c r="H18" s="640"/>
      <c r="I18" s="590"/>
      <c r="J18" s="590"/>
      <c r="K18" s="582"/>
      <c r="L18" s="582"/>
      <c r="M18" s="486">
        <v>37</v>
      </c>
    </row>
    <row r="19" spans="1:13">
      <c r="A19" s="624"/>
      <c r="B19" s="476" t="s">
        <v>281</v>
      </c>
      <c r="C19" s="476">
        <v>929</v>
      </c>
      <c r="D19" s="195">
        <v>0.9</v>
      </c>
      <c r="E19" s="474">
        <v>281</v>
      </c>
      <c r="F19" s="107">
        <f t="shared" si="0"/>
        <v>234944.1</v>
      </c>
      <c r="G19" s="616"/>
      <c r="H19" s="640"/>
      <c r="I19" s="590"/>
      <c r="J19" s="590"/>
      <c r="K19" s="582"/>
      <c r="L19" s="582"/>
      <c r="M19" s="486">
        <v>31</v>
      </c>
    </row>
    <row r="20" spans="1:13">
      <c r="A20" s="624" t="s">
        <v>238</v>
      </c>
      <c r="B20" s="476" t="s">
        <v>101</v>
      </c>
      <c r="C20" s="476">
        <v>750</v>
      </c>
      <c r="D20" s="195">
        <v>1.02</v>
      </c>
      <c r="E20" s="474">
        <v>281</v>
      </c>
      <c r="F20" s="107">
        <f t="shared" si="0"/>
        <v>214965</v>
      </c>
      <c r="G20" s="616">
        <v>5945</v>
      </c>
      <c r="H20" s="640">
        <v>10217</v>
      </c>
      <c r="I20" s="590">
        <v>690</v>
      </c>
      <c r="J20" s="590">
        <f>G20/H20*SUM(C20:C26)*I20</f>
        <v>4102049.9999999995</v>
      </c>
      <c r="K20" s="582">
        <f>J20+SUM(F20:F26)</f>
        <v>7030446.54</v>
      </c>
      <c r="L20" s="582">
        <f>K20/SUM(C20:C26)</f>
        <v>688.11261035529026</v>
      </c>
      <c r="M20" s="486">
        <v>25</v>
      </c>
    </row>
    <row r="21" spans="1:13">
      <c r="A21" s="624"/>
      <c r="B21" s="476" t="s">
        <v>150</v>
      </c>
      <c r="C21" s="476">
        <v>1282</v>
      </c>
      <c r="D21" s="195">
        <v>1.02</v>
      </c>
      <c r="E21" s="474">
        <v>281</v>
      </c>
      <c r="F21" s="107">
        <f t="shared" si="0"/>
        <v>367446.84</v>
      </c>
      <c r="G21" s="616"/>
      <c r="H21" s="640"/>
      <c r="I21" s="590"/>
      <c r="J21" s="590"/>
      <c r="K21" s="582"/>
      <c r="L21" s="582"/>
      <c r="M21" s="486">
        <v>43</v>
      </c>
    </row>
    <row r="22" spans="1:13">
      <c r="A22" s="624"/>
      <c r="B22" s="476" t="s">
        <v>95</v>
      </c>
      <c r="C22" s="476">
        <v>1933</v>
      </c>
      <c r="D22" s="195">
        <v>1.02</v>
      </c>
      <c r="E22" s="474">
        <v>281</v>
      </c>
      <c r="F22" s="107">
        <f t="shared" si="0"/>
        <v>554036.46000000008</v>
      </c>
      <c r="G22" s="616"/>
      <c r="H22" s="640"/>
      <c r="I22" s="590"/>
      <c r="J22" s="590"/>
      <c r="K22" s="582"/>
      <c r="L22" s="582"/>
      <c r="M22" s="486">
        <v>64</v>
      </c>
    </row>
    <row r="23" spans="1:13">
      <c r="A23" s="624"/>
      <c r="B23" s="476" t="s">
        <v>102</v>
      </c>
      <c r="C23" s="476">
        <v>1934</v>
      </c>
      <c r="D23" s="195">
        <v>1.02</v>
      </c>
      <c r="E23" s="474">
        <v>281</v>
      </c>
      <c r="F23" s="107">
        <f t="shared" si="0"/>
        <v>554323.08000000007</v>
      </c>
      <c r="G23" s="616"/>
      <c r="H23" s="640"/>
      <c r="I23" s="590"/>
      <c r="J23" s="590"/>
      <c r="K23" s="582"/>
      <c r="L23" s="582"/>
      <c r="M23" s="486">
        <v>64</v>
      </c>
    </row>
    <row r="24" spans="1:13">
      <c r="A24" s="624"/>
      <c r="B24" s="476" t="s">
        <v>114</v>
      </c>
      <c r="C24" s="476">
        <v>1440</v>
      </c>
      <c r="D24" s="195">
        <v>1.02</v>
      </c>
      <c r="E24" s="474">
        <v>281</v>
      </c>
      <c r="F24" s="107">
        <f t="shared" si="0"/>
        <v>412732.8</v>
      </c>
      <c r="G24" s="616"/>
      <c r="H24" s="640"/>
      <c r="I24" s="590"/>
      <c r="J24" s="590"/>
      <c r="K24" s="582"/>
      <c r="L24" s="582"/>
      <c r="M24" s="486">
        <v>48</v>
      </c>
    </row>
    <row r="25" spans="1:13">
      <c r="A25" s="624"/>
      <c r="B25" s="476" t="s">
        <v>100</v>
      </c>
      <c r="C25" s="476">
        <v>998</v>
      </c>
      <c r="D25" s="195">
        <v>1.02</v>
      </c>
      <c r="E25" s="474">
        <v>281</v>
      </c>
      <c r="F25" s="107">
        <f t="shared" si="0"/>
        <v>286046.76</v>
      </c>
      <c r="G25" s="616"/>
      <c r="H25" s="640"/>
      <c r="I25" s="590"/>
      <c r="J25" s="590"/>
      <c r="K25" s="582"/>
      <c r="L25" s="582"/>
      <c r="M25" s="486">
        <v>33</v>
      </c>
    </row>
    <row r="26" spans="1:13">
      <c r="A26" s="624"/>
      <c r="B26" s="476" t="s">
        <v>245</v>
      </c>
      <c r="C26" s="476">
        <v>1880</v>
      </c>
      <c r="D26" s="195">
        <v>1.02</v>
      </c>
      <c r="E26" s="474">
        <v>281</v>
      </c>
      <c r="F26" s="107">
        <f t="shared" si="0"/>
        <v>538845.60000000009</v>
      </c>
      <c r="G26" s="616"/>
      <c r="H26" s="640"/>
      <c r="I26" s="590"/>
      <c r="J26" s="590"/>
      <c r="K26" s="582"/>
      <c r="L26" s="582"/>
      <c r="M26" s="486">
        <v>63</v>
      </c>
    </row>
    <row r="27" spans="1:13">
      <c r="A27" s="624" t="s">
        <v>351</v>
      </c>
      <c r="B27" s="476" t="s">
        <v>101</v>
      </c>
      <c r="C27" s="476">
        <v>1020</v>
      </c>
      <c r="D27" s="195">
        <v>1.8</v>
      </c>
      <c r="E27" s="474">
        <v>281</v>
      </c>
      <c r="F27" s="107">
        <f t="shared" si="0"/>
        <v>515916</v>
      </c>
      <c r="G27" s="616">
        <v>1313</v>
      </c>
      <c r="H27" s="590">
        <v>3002</v>
      </c>
      <c r="I27" s="590">
        <v>690</v>
      </c>
      <c r="J27" s="590">
        <f>G27/H27*SUM(C27:C30)*I27</f>
        <v>905970</v>
      </c>
      <c r="K27" s="582">
        <f>J27+SUM(F27:F30)</f>
        <v>2424381.5999999996</v>
      </c>
      <c r="L27" s="582">
        <f>K27/SUM(C27:C30)</f>
        <v>807.58880746169211</v>
      </c>
      <c r="M27" s="486">
        <v>34</v>
      </c>
    </row>
    <row r="28" spans="1:13">
      <c r="A28" s="624"/>
      <c r="B28" s="476" t="s">
        <v>327</v>
      </c>
      <c r="C28" s="476">
        <v>904</v>
      </c>
      <c r="D28" s="195">
        <v>1.8</v>
      </c>
      <c r="E28" s="474">
        <v>281</v>
      </c>
      <c r="F28" s="107">
        <f t="shared" si="0"/>
        <v>457243.2</v>
      </c>
      <c r="G28" s="616"/>
      <c r="H28" s="590"/>
      <c r="I28" s="590"/>
      <c r="J28" s="590"/>
      <c r="K28" s="590"/>
      <c r="L28" s="582"/>
      <c r="M28" s="486">
        <v>31</v>
      </c>
    </row>
    <row r="29" spans="1:13">
      <c r="A29" s="624"/>
      <c r="B29" s="476" t="s">
        <v>150</v>
      </c>
      <c r="C29" s="476">
        <v>520</v>
      </c>
      <c r="D29" s="195">
        <v>1.8</v>
      </c>
      <c r="E29" s="474">
        <v>281</v>
      </c>
      <c r="F29" s="107">
        <f t="shared" si="0"/>
        <v>263016</v>
      </c>
      <c r="G29" s="616"/>
      <c r="H29" s="590"/>
      <c r="I29" s="590"/>
      <c r="J29" s="590"/>
      <c r="K29" s="590"/>
      <c r="L29" s="582"/>
      <c r="M29" s="486">
        <v>17</v>
      </c>
    </row>
    <row r="30" spans="1:13">
      <c r="A30" s="624"/>
      <c r="B30" s="476" t="s">
        <v>244</v>
      </c>
      <c r="C30" s="476">
        <v>558</v>
      </c>
      <c r="D30" s="195">
        <v>1.8</v>
      </c>
      <c r="E30" s="474">
        <v>281</v>
      </c>
      <c r="F30" s="107">
        <f t="shared" si="0"/>
        <v>282236.39999999997</v>
      </c>
      <c r="G30" s="616"/>
      <c r="H30" s="590"/>
      <c r="I30" s="590"/>
      <c r="J30" s="590"/>
      <c r="K30" s="590"/>
      <c r="L30" s="582"/>
      <c r="M30" s="486">
        <v>19</v>
      </c>
    </row>
    <row r="31" spans="1:13">
      <c r="A31" s="624" t="s">
        <v>388</v>
      </c>
      <c r="B31" s="476" t="s">
        <v>95</v>
      </c>
      <c r="C31" s="476">
        <v>1539</v>
      </c>
      <c r="D31" s="195">
        <v>0.68</v>
      </c>
      <c r="E31" s="474">
        <v>281</v>
      </c>
      <c r="F31" s="107">
        <f t="shared" si="0"/>
        <v>294072.12</v>
      </c>
      <c r="G31" s="616">
        <v>1260</v>
      </c>
      <c r="H31" s="590">
        <v>3173</v>
      </c>
      <c r="I31" s="590">
        <v>690</v>
      </c>
      <c r="J31" s="590">
        <f>G31/H31*SUM(C31:C33)*I31</f>
        <v>869400</v>
      </c>
      <c r="K31" s="582">
        <f>J31+SUM(F31:F33)</f>
        <v>1475696.84</v>
      </c>
      <c r="L31" s="582">
        <f>K31/SUM(C31:C33)</f>
        <v>465.07936968168929</v>
      </c>
      <c r="M31" s="486">
        <v>51</v>
      </c>
    </row>
    <row r="32" spans="1:13">
      <c r="A32" s="624"/>
      <c r="B32" s="476" t="s">
        <v>96</v>
      </c>
      <c r="C32" s="476">
        <v>794</v>
      </c>
      <c r="D32" s="195">
        <v>0.68</v>
      </c>
      <c r="E32" s="474">
        <v>281</v>
      </c>
      <c r="F32" s="107">
        <f t="shared" si="0"/>
        <v>151717.52000000002</v>
      </c>
      <c r="G32" s="616"/>
      <c r="H32" s="590"/>
      <c r="I32" s="590"/>
      <c r="J32" s="590"/>
      <c r="K32" s="590"/>
      <c r="L32" s="582"/>
      <c r="M32" s="486">
        <v>27</v>
      </c>
    </row>
    <row r="33" spans="1:15">
      <c r="A33" s="624"/>
      <c r="B33" s="476" t="s">
        <v>272</v>
      </c>
      <c r="C33" s="476">
        <v>840</v>
      </c>
      <c r="D33" s="195">
        <v>0.68</v>
      </c>
      <c r="E33" s="474">
        <v>281</v>
      </c>
      <c r="F33" s="107">
        <f t="shared" si="0"/>
        <v>160507.20000000001</v>
      </c>
      <c r="G33" s="616"/>
      <c r="H33" s="590"/>
      <c r="I33" s="590"/>
      <c r="J33" s="590"/>
      <c r="K33" s="590"/>
      <c r="L33" s="582"/>
      <c r="M33" s="486">
        <v>28</v>
      </c>
    </row>
    <row r="34" spans="1:15">
      <c r="A34" s="476" t="s">
        <v>389</v>
      </c>
      <c r="B34" s="476" t="s">
        <v>270</v>
      </c>
      <c r="C34" s="476">
        <v>1004</v>
      </c>
      <c r="D34" s="195">
        <v>0.89</v>
      </c>
      <c r="E34" s="474">
        <v>281</v>
      </c>
      <c r="F34" s="107">
        <f t="shared" si="0"/>
        <v>251090.36000000002</v>
      </c>
      <c r="G34" s="475">
        <v>310</v>
      </c>
      <c r="H34" s="474">
        <v>1004</v>
      </c>
      <c r="I34" s="474">
        <v>690</v>
      </c>
      <c r="J34" s="474">
        <f>G34/H34*SUM(C34:C34)*I34</f>
        <v>213900</v>
      </c>
      <c r="K34" s="473">
        <f>J34+SUM(F34:F34)</f>
        <v>464990.36</v>
      </c>
      <c r="L34" s="473">
        <f>K34/SUM(C34:C34)</f>
        <v>463.13780876494025</v>
      </c>
      <c r="M34" s="486">
        <v>34</v>
      </c>
    </row>
    <row r="35" spans="1:15">
      <c r="A35" s="640" t="s">
        <v>352</v>
      </c>
      <c r="B35" s="487" t="s">
        <v>379</v>
      </c>
      <c r="C35" s="477">
        <v>19194</v>
      </c>
      <c r="D35" s="201">
        <v>0.27</v>
      </c>
      <c r="E35" s="474">
        <v>281</v>
      </c>
      <c r="F35" s="107">
        <f t="shared" si="0"/>
        <v>1456248.78</v>
      </c>
      <c r="G35" s="616">
        <v>1038</v>
      </c>
      <c r="H35" s="590">
        <v>61956</v>
      </c>
      <c r="I35" s="590">
        <v>690</v>
      </c>
      <c r="J35" s="590">
        <f>G35/H35*SUM(C35:C50)*I35</f>
        <v>716220</v>
      </c>
      <c r="K35" s="582">
        <f>J35+SUM(F35:F50)</f>
        <v>5309979.9000000013</v>
      </c>
      <c r="L35" s="582">
        <f>K35/SUM(C35:C50)</f>
        <v>85.705660468719756</v>
      </c>
      <c r="M35" s="486">
        <v>14</v>
      </c>
    </row>
    <row r="36" spans="1:15">
      <c r="A36" s="640"/>
      <c r="B36" s="487" t="s">
        <v>380</v>
      </c>
      <c r="C36" s="477">
        <v>9597</v>
      </c>
      <c r="D36" s="201">
        <v>0.25</v>
      </c>
      <c r="E36" s="474">
        <v>281</v>
      </c>
      <c r="F36" s="107">
        <f t="shared" si="0"/>
        <v>674189.25</v>
      </c>
      <c r="G36" s="616"/>
      <c r="H36" s="590"/>
      <c r="I36" s="590"/>
      <c r="J36" s="590"/>
      <c r="K36" s="590"/>
      <c r="L36" s="582"/>
      <c r="M36" s="486">
        <v>7</v>
      </c>
      <c r="N36">
        <f>C36</f>
        <v>9597</v>
      </c>
      <c r="O36">
        <f>C35</f>
        <v>19194</v>
      </c>
    </row>
    <row r="37" spans="1:15">
      <c r="A37" s="640"/>
      <c r="B37" s="487" t="s">
        <v>393</v>
      </c>
      <c r="C37" s="477">
        <v>6855</v>
      </c>
      <c r="D37" s="201">
        <v>0.27</v>
      </c>
      <c r="E37" s="474">
        <v>281</v>
      </c>
      <c r="F37" s="107">
        <f t="shared" si="0"/>
        <v>520088.85000000003</v>
      </c>
      <c r="G37" s="616"/>
      <c r="H37" s="590"/>
      <c r="I37" s="590"/>
      <c r="J37" s="590"/>
      <c r="K37" s="590"/>
      <c r="L37" s="582"/>
      <c r="M37" s="486">
        <v>5</v>
      </c>
      <c r="N37">
        <f>C40</f>
        <v>2742</v>
      </c>
      <c r="O37">
        <f>C37</f>
        <v>6855</v>
      </c>
    </row>
    <row r="38" spans="1:15">
      <c r="A38" s="640"/>
      <c r="B38" s="487" t="s">
        <v>370</v>
      </c>
      <c r="C38" s="477">
        <v>4113</v>
      </c>
      <c r="D38" s="201">
        <v>0.27</v>
      </c>
      <c r="E38" s="474">
        <v>281</v>
      </c>
      <c r="F38" s="107">
        <f t="shared" si="0"/>
        <v>312053.31</v>
      </c>
      <c r="G38" s="616"/>
      <c r="H38" s="590"/>
      <c r="I38" s="590"/>
      <c r="J38" s="590"/>
      <c r="K38" s="590"/>
      <c r="L38" s="582"/>
      <c r="M38" s="486">
        <v>3</v>
      </c>
      <c r="N38">
        <f>C41</f>
        <v>4113</v>
      </c>
      <c r="O38">
        <f>C38</f>
        <v>4113</v>
      </c>
    </row>
    <row r="39" spans="1:15">
      <c r="A39" s="640"/>
      <c r="B39" s="487" t="s">
        <v>372</v>
      </c>
      <c r="C39" s="477">
        <v>5484</v>
      </c>
      <c r="D39" s="201">
        <v>0.27</v>
      </c>
      <c r="E39" s="474">
        <v>281</v>
      </c>
      <c r="F39" s="107">
        <f t="shared" si="0"/>
        <v>416071.08</v>
      </c>
      <c r="G39" s="616"/>
      <c r="H39" s="590"/>
      <c r="I39" s="590"/>
      <c r="J39" s="590"/>
      <c r="K39" s="590"/>
      <c r="L39" s="582"/>
      <c r="M39" s="486">
        <v>4</v>
      </c>
      <c r="N39">
        <f>C44</f>
        <v>411</v>
      </c>
      <c r="O39" s="485">
        <v>5484</v>
      </c>
    </row>
    <row r="40" spans="1:15">
      <c r="A40" s="640"/>
      <c r="B40" s="487" t="s">
        <v>394</v>
      </c>
      <c r="C40" s="477">
        <v>2742</v>
      </c>
      <c r="D40" s="201">
        <v>0.25</v>
      </c>
      <c r="E40" s="474">
        <v>281</v>
      </c>
      <c r="F40" s="107">
        <f t="shared" si="0"/>
        <v>192625.5</v>
      </c>
      <c r="G40" s="616"/>
      <c r="H40" s="590"/>
      <c r="I40" s="590"/>
      <c r="J40" s="590"/>
      <c r="K40" s="590"/>
      <c r="L40" s="582"/>
      <c r="M40" s="486">
        <v>2</v>
      </c>
      <c r="N40">
        <f>C48</f>
        <v>868</v>
      </c>
      <c r="O40" s="484">
        <v>4113</v>
      </c>
    </row>
    <row r="41" spans="1:15">
      <c r="A41" s="640"/>
      <c r="B41" s="487" t="s">
        <v>354</v>
      </c>
      <c r="C41" s="477">
        <v>4113</v>
      </c>
      <c r="D41" s="201">
        <v>0.25</v>
      </c>
      <c r="E41" s="474">
        <v>281</v>
      </c>
      <c r="F41" s="107">
        <f t="shared" si="0"/>
        <v>288938.25</v>
      </c>
      <c r="G41" s="616"/>
      <c r="H41" s="590"/>
      <c r="I41" s="590"/>
      <c r="J41" s="590"/>
      <c r="K41" s="590"/>
      <c r="L41" s="582"/>
      <c r="M41" s="486">
        <v>3</v>
      </c>
      <c r="N41">
        <f>C49</f>
        <v>1280</v>
      </c>
      <c r="O41" s="485">
        <v>823</v>
      </c>
    </row>
    <row r="42" spans="1:15">
      <c r="A42" s="640"/>
      <c r="B42" s="487" t="s">
        <v>395</v>
      </c>
      <c r="C42" s="476">
        <v>4113</v>
      </c>
      <c r="D42" s="201">
        <v>0.27</v>
      </c>
      <c r="E42" s="474">
        <v>281</v>
      </c>
      <c r="F42" s="107">
        <f t="shared" si="0"/>
        <v>312053.31</v>
      </c>
      <c r="G42" s="616"/>
      <c r="H42" s="590"/>
      <c r="I42" s="590"/>
      <c r="J42" s="590"/>
      <c r="K42" s="590"/>
      <c r="L42" s="582"/>
      <c r="M42" s="486">
        <v>3</v>
      </c>
      <c r="N42">
        <f>SUM(N36:N41)</f>
        <v>19011</v>
      </c>
      <c r="O42" s="485">
        <v>137</v>
      </c>
    </row>
    <row r="43" spans="1:15">
      <c r="A43" s="640"/>
      <c r="B43" s="487" t="s">
        <v>379</v>
      </c>
      <c r="C43" s="477">
        <v>823</v>
      </c>
      <c r="D43" s="201">
        <v>0.27</v>
      </c>
      <c r="E43" s="474">
        <v>281</v>
      </c>
      <c r="F43" s="107">
        <f t="shared" si="0"/>
        <v>62441.01</v>
      </c>
      <c r="G43" s="616"/>
      <c r="H43" s="590"/>
      <c r="I43" s="590"/>
      <c r="J43" s="590"/>
      <c r="K43" s="590"/>
      <c r="L43" s="582"/>
      <c r="M43" s="486">
        <v>1</v>
      </c>
      <c r="O43" s="485">
        <v>855</v>
      </c>
    </row>
    <row r="44" spans="1:15">
      <c r="A44" s="640"/>
      <c r="B44" s="487" t="s">
        <v>380</v>
      </c>
      <c r="C44" s="477">
        <v>411</v>
      </c>
      <c r="D44" s="201">
        <v>0.25</v>
      </c>
      <c r="E44" s="474">
        <v>281</v>
      </c>
      <c r="F44" s="107">
        <f t="shared" si="0"/>
        <v>28872.75</v>
      </c>
      <c r="G44" s="616"/>
      <c r="H44" s="590"/>
      <c r="I44" s="590"/>
      <c r="J44" s="590"/>
      <c r="K44" s="590"/>
      <c r="L44" s="582"/>
      <c r="M44" s="486"/>
      <c r="O44" s="485">
        <v>503</v>
      </c>
    </row>
    <row r="45" spans="1:15">
      <c r="A45" s="640"/>
      <c r="B45" s="487" t="s">
        <v>393</v>
      </c>
      <c r="C45" s="477">
        <v>137</v>
      </c>
      <c r="D45" s="201">
        <v>0.27</v>
      </c>
      <c r="E45" s="474">
        <v>281</v>
      </c>
      <c r="F45" s="107">
        <f t="shared" si="0"/>
        <v>10394.19</v>
      </c>
      <c r="G45" s="616"/>
      <c r="H45" s="590"/>
      <c r="I45" s="590"/>
      <c r="J45" s="590"/>
      <c r="K45" s="590"/>
      <c r="L45" s="582"/>
      <c r="M45" s="486">
        <v>1</v>
      </c>
      <c r="O45" s="484">
        <v>868</v>
      </c>
    </row>
    <row r="46" spans="1:15">
      <c r="A46" s="640"/>
      <c r="B46" s="487" t="s">
        <v>370</v>
      </c>
      <c r="C46" s="477">
        <v>855</v>
      </c>
      <c r="D46" s="201">
        <v>0.27</v>
      </c>
      <c r="E46" s="474">
        <v>281</v>
      </c>
      <c r="F46" s="107">
        <f t="shared" si="0"/>
        <v>64868.850000000006</v>
      </c>
      <c r="G46" s="616"/>
      <c r="H46" s="590"/>
      <c r="I46" s="590"/>
      <c r="J46" s="590"/>
      <c r="K46" s="590"/>
      <c r="L46" s="582"/>
      <c r="M46" s="486"/>
      <c r="O46">
        <f>SUM(O36:O45)</f>
        <v>42945</v>
      </c>
    </row>
    <row r="47" spans="1:15">
      <c r="A47" s="640"/>
      <c r="B47" s="487" t="s">
        <v>372</v>
      </c>
      <c r="C47" s="477">
        <v>503</v>
      </c>
      <c r="D47" s="201">
        <v>0.27</v>
      </c>
      <c r="E47" s="474">
        <v>281</v>
      </c>
      <c r="F47" s="107">
        <f t="shared" si="0"/>
        <v>38162.61</v>
      </c>
      <c r="G47" s="616"/>
      <c r="H47" s="590"/>
      <c r="I47" s="590"/>
      <c r="J47" s="590"/>
      <c r="K47" s="590"/>
      <c r="L47" s="582"/>
      <c r="M47" s="486">
        <v>1</v>
      </c>
      <c r="N47">
        <v>0.25</v>
      </c>
      <c r="O47" s="90">
        <v>0.27</v>
      </c>
    </row>
    <row r="48" spans="1:15">
      <c r="A48" s="640"/>
      <c r="B48" s="487" t="s">
        <v>354</v>
      </c>
      <c r="C48" s="477">
        <v>868</v>
      </c>
      <c r="D48" s="201">
        <v>0.25</v>
      </c>
      <c r="E48" s="474">
        <v>281</v>
      </c>
      <c r="F48" s="107">
        <f t="shared" si="0"/>
        <v>60977</v>
      </c>
      <c r="G48" s="616"/>
      <c r="H48" s="590"/>
      <c r="I48" s="590"/>
      <c r="J48" s="590"/>
      <c r="K48" s="590"/>
      <c r="L48" s="582"/>
      <c r="M48" s="486"/>
      <c r="N48">
        <f>N42*N47</f>
        <v>4752.75</v>
      </c>
      <c r="O48">
        <f>O46*O47</f>
        <v>11595.150000000001</v>
      </c>
    </row>
    <row r="49" spans="1:13">
      <c r="A49" s="640"/>
      <c r="B49" s="487" t="s">
        <v>394</v>
      </c>
      <c r="C49" s="477">
        <v>1280</v>
      </c>
      <c r="D49" s="201">
        <v>0.25</v>
      </c>
      <c r="E49" s="474">
        <v>281</v>
      </c>
      <c r="F49" s="107">
        <f t="shared" si="0"/>
        <v>89920</v>
      </c>
      <c r="G49" s="616"/>
      <c r="H49" s="590"/>
      <c r="I49" s="590"/>
      <c r="J49" s="590"/>
      <c r="K49" s="590"/>
      <c r="L49" s="582"/>
      <c r="M49" s="486">
        <v>1</v>
      </c>
    </row>
    <row r="50" spans="1:13">
      <c r="A50" s="640"/>
      <c r="B50" s="487" t="s">
        <v>395</v>
      </c>
      <c r="C50" s="476">
        <v>868</v>
      </c>
      <c r="D50" s="201">
        <v>0.27</v>
      </c>
      <c r="E50" s="474">
        <v>281</v>
      </c>
      <c r="F50" s="107">
        <f t="shared" si="0"/>
        <v>65855.16</v>
      </c>
      <c r="G50" s="616"/>
      <c r="H50" s="590"/>
      <c r="I50" s="590"/>
      <c r="J50" s="590"/>
      <c r="K50" s="590"/>
      <c r="L50" s="582"/>
      <c r="M50" s="486">
        <v>1</v>
      </c>
    </row>
    <row r="51" spans="1:13" ht="15.75">
      <c r="A51" s="474"/>
      <c r="B51" s="474"/>
      <c r="C51" s="474">
        <f>SUM(C3:C50)</f>
        <v>101010</v>
      </c>
      <c r="D51" s="474"/>
      <c r="E51" s="474"/>
      <c r="F51" s="473">
        <f>SUM(F3:F26)</f>
        <v>9054362.3299999982</v>
      </c>
      <c r="G51" s="474">
        <f>SUM(G3:G50)</f>
        <v>19979</v>
      </c>
      <c r="H51" s="187">
        <f>SUM(H3:H50)</f>
        <v>101010</v>
      </c>
      <c r="I51" s="474"/>
      <c r="J51" s="474">
        <f>SUM(J3:J50)</f>
        <v>13785510</v>
      </c>
      <c r="K51" s="473">
        <f>SUM(K3:K50)</f>
        <v>29809431.030000001</v>
      </c>
      <c r="L51" s="474"/>
      <c r="M51" s="82"/>
    </row>
    <row r="52" spans="1:13">
      <c r="A52" s="474"/>
      <c r="B52" s="474"/>
      <c r="C52" s="474"/>
      <c r="D52" s="474"/>
      <c r="E52" s="474"/>
      <c r="F52" s="590" t="s">
        <v>233</v>
      </c>
      <c r="G52" s="590"/>
      <c r="H52" s="473">
        <f>K51+K52</f>
        <v>30107525.340300001</v>
      </c>
      <c r="I52" s="590" t="s">
        <v>232</v>
      </c>
      <c r="J52" s="590"/>
      <c r="K52" s="474">
        <f>K51*1%</f>
        <v>298094.31030000001</v>
      </c>
      <c r="L52" s="474"/>
      <c r="M52" s="82"/>
    </row>
  </sheetData>
  <mergeCells count="59">
    <mergeCell ref="A1:J1"/>
    <mergeCell ref="F52:G52"/>
    <mergeCell ref="I52:J52"/>
    <mergeCell ref="G4:G5"/>
    <mergeCell ref="H4:H5"/>
    <mergeCell ref="I4:I5"/>
    <mergeCell ref="J4:J5"/>
    <mergeCell ref="G6:G10"/>
    <mergeCell ref="H15:H19"/>
    <mergeCell ref="I15:I19"/>
    <mergeCell ref="J15:J19"/>
    <mergeCell ref="H6:H10"/>
    <mergeCell ref="I6:I10"/>
    <mergeCell ref="J6:J10"/>
    <mergeCell ref="A27:A30"/>
    <mergeCell ref="A31:A33"/>
    <mergeCell ref="K6:K10"/>
    <mergeCell ref="L6:L10"/>
    <mergeCell ref="A4:A5"/>
    <mergeCell ref="A6:A10"/>
    <mergeCell ref="K4:K5"/>
    <mergeCell ref="L4:L5"/>
    <mergeCell ref="A35:A50"/>
    <mergeCell ref="G11:G14"/>
    <mergeCell ref="G15:G19"/>
    <mergeCell ref="G20:G26"/>
    <mergeCell ref="G27:G30"/>
    <mergeCell ref="G31:G33"/>
    <mergeCell ref="G35:G50"/>
    <mergeCell ref="A20:A26"/>
    <mergeCell ref="A11:A14"/>
    <mergeCell ref="A15:A19"/>
    <mergeCell ref="H31:H33"/>
    <mergeCell ref="I31:I33"/>
    <mergeCell ref="J31:J33"/>
    <mergeCell ref="K31:K33"/>
    <mergeCell ref="L31:L33"/>
    <mergeCell ref="H35:H50"/>
    <mergeCell ref="I35:I50"/>
    <mergeCell ref="J35:J50"/>
    <mergeCell ref="K35:K50"/>
    <mergeCell ref="L35:L50"/>
    <mergeCell ref="H20:H26"/>
    <mergeCell ref="I20:I26"/>
    <mergeCell ref="J20:J26"/>
    <mergeCell ref="K20:K26"/>
    <mergeCell ref="L20:L26"/>
    <mergeCell ref="H27:H30"/>
    <mergeCell ref="I27:I30"/>
    <mergeCell ref="J27:J30"/>
    <mergeCell ref="K27:K30"/>
    <mergeCell ref="L27:L30"/>
    <mergeCell ref="L15:L19"/>
    <mergeCell ref="H11:H14"/>
    <mergeCell ref="I11:I14"/>
    <mergeCell ref="J11:J14"/>
    <mergeCell ref="K11:K14"/>
    <mergeCell ref="L11:L14"/>
    <mergeCell ref="K15:K19"/>
  </mergeCells>
  <pageMargins left="0.38" right="0.44" top="0.75" bottom="0.92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A31" workbookViewId="0">
      <selection sqref="A1:M52"/>
    </sheetView>
  </sheetViews>
  <sheetFormatPr defaultRowHeight="15"/>
  <cols>
    <col min="1" max="1" width="18.42578125" customWidth="1"/>
    <col min="2" max="2" width="19.28515625" customWidth="1"/>
    <col min="11" max="11" width="11.85546875" customWidth="1"/>
    <col min="15" max="15" width="20.42578125" customWidth="1"/>
    <col min="16" max="16" width="18.140625" customWidth="1"/>
    <col min="17" max="17" width="8.7109375" customWidth="1"/>
    <col min="18" max="18" width="7.5703125" customWidth="1"/>
    <col min="19" max="19" width="8" customWidth="1"/>
    <col min="20" max="20" width="10.5703125" customWidth="1"/>
    <col min="21" max="21" width="8.28515625" customWidth="1"/>
    <col min="22" max="22" width="9.28515625" customWidth="1"/>
    <col min="24" max="24" width="12" customWidth="1"/>
    <col min="25" max="25" width="12.140625" customWidth="1"/>
    <col min="30" max="30" width="19.7109375" customWidth="1"/>
    <col min="31" max="31" width="19.42578125" customWidth="1"/>
    <col min="34" max="34" width="9.85546875" customWidth="1"/>
  </cols>
  <sheetData>
    <row r="1" spans="1:42" ht="28.5">
      <c r="A1" s="605" t="s">
        <v>404</v>
      </c>
      <c r="B1" s="605"/>
      <c r="C1" s="605"/>
      <c r="D1" s="605"/>
      <c r="E1" s="605"/>
      <c r="F1" s="605"/>
      <c r="G1" s="605"/>
      <c r="H1" s="605"/>
      <c r="I1" s="605"/>
      <c r="J1" s="605"/>
      <c r="K1" s="492">
        <v>45421</v>
      </c>
      <c r="L1" s="101" t="s">
        <v>396</v>
      </c>
      <c r="M1" s="82"/>
      <c r="O1" s="605" t="s">
        <v>350</v>
      </c>
      <c r="P1" s="605"/>
      <c r="Q1" s="605"/>
      <c r="R1" s="605"/>
      <c r="S1" s="605"/>
      <c r="T1" s="605"/>
      <c r="U1" s="605"/>
      <c r="V1" s="605"/>
      <c r="W1" s="605"/>
      <c r="X1" s="605"/>
      <c r="Y1" s="498">
        <v>45421</v>
      </c>
      <c r="Z1" s="101" t="s">
        <v>396</v>
      </c>
      <c r="AA1" s="82"/>
      <c r="AD1" s="709" t="s">
        <v>403</v>
      </c>
      <c r="AE1" s="710"/>
      <c r="AF1" s="710"/>
      <c r="AG1" s="710"/>
      <c r="AH1" s="503">
        <v>45477</v>
      </c>
      <c r="AM1" s="709"/>
      <c r="AN1" s="710"/>
      <c r="AO1" s="710"/>
      <c r="AP1" s="710"/>
    </row>
    <row r="2" spans="1:42" ht="37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3" t="s">
        <v>125</v>
      </c>
      <c r="O2" s="100" t="s">
        <v>0</v>
      </c>
      <c r="P2" s="100" t="s">
        <v>140</v>
      </c>
      <c r="Q2" s="101" t="s">
        <v>130</v>
      </c>
      <c r="R2" s="101" t="s">
        <v>2</v>
      </c>
      <c r="S2" s="101" t="s">
        <v>3</v>
      </c>
      <c r="T2" s="102" t="s">
        <v>4</v>
      </c>
      <c r="U2" s="103" t="s">
        <v>5</v>
      </c>
      <c r="V2" s="103" t="s">
        <v>6</v>
      </c>
      <c r="W2" s="103" t="s">
        <v>7</v>
      </c>
      <c r="X2" s="101" t="s">
        <v>8</v>
      </c>
      <c r="Y2" s="104" t="s">
        <v>9</v>
      </c>
      <c r="Z2" s="103" t="s">
        <v>10</v>
      </c>
      <c r="AA2" s="103" t="s">
        <v>125</v>
      </c>
      <c r="AB2" s="277" t="s">
        <v>400</v>
      </c>
      <c r="AD2" s="100" t="s">
        <v>0</v>
      </c>
      <c r="AE2" s="100" t="s">
        <v>140</v>
      </c>
      <c r="AF2" s="103" t="s">
        <v>125</v>
      </c>
      <c r="AG2" s="502" t="s">
        <v>401</v>
      </c>
      <c r="AH2" s="502" t="s">
        <v>402</v>
      </c>
      <c r="AM2" s="100"/>
      <c r="AN2" s="100"/>
      <c r="AO2" s="103"/>
      <c r="AP2" s="502"/>
    </row>
    <row r="3" spans="1:42">
      <c r="A3" s="491" t="s">
        <v>240</v>
      </c>
      <c r="B3" s="491" t="s">
        <v>101</v>
      </c>
      <c r="C3" s="491">
        <v>810</v>
      </c>
      <c r="D3" s="195">
        <v>1.03</v>
      </c>
      <c r="E3" s="489">
        <v>281</v>
      </c>
      <c r="F3" s="107">
        <f>C3*D3*E3</f>
        <v>234438.30000000002</v>
      </c>
      <c r="G3" s="493">
        <v>720</v>
      </c>
      <c r="H3" s="491">
        <v>1566</v>
      </c>
      <c r="I3" s="489">
        <v>670</v>
      </c>
      <c r="J3" s="489">
        <f>G3/H3*SUM(C3:C3)*I3</f>
        <v>249517.24137931032</v>
      </c>
      <c r="K3" s="488">
        <f>J3+SUM(F3:F3)</f>
        <v>483955.54137931031</v>
      </c>
      <c r="L3" s="488">
        <f>K3/SUM(C3:C3)</f>
        <v>597.47597701149425</v>
      </c>
      <c r="M3" s="486">
        <v>52</v>
      </c>
      <c r="N3" s="500">
        <v>1566</v>
      </c>
      <c r="O3" s="497" t="s">
        <v>240</v>
      </c>
      <c r="P3" s="497" t="s">
        <v>101</v>
      </c>
      <c r="Q3" s="497">
        <v>756</v>
      </c>
      <c r="R3" s="195">
        <v>1.03</v>
      </c>
      <c r="S3" s="495">
        <v>281</v>
      </c>
      <c r="T3" s="107">
        <f>Q3*R3*S3</f>
        <v>218809.08000000002</v>
      </c>
      <c r="U3" s="499">
        <v>720</v>
      </c>
      <c r="V3" s="497">
        <v>1566</v>
      </c>
      <c r="W3" s="495">
        <v>670</v>
      </c>
      <c r="X3" s="495">
        <f>U3/V3*SUM(Q3:Q3)*W3</f>
        <v>232882.75862068968</v>
      </c>
      <c r="Y3" s="494">
        <f>X3+SUM(T3:T3)</f>
        <v>451691.8386206897</v>
      </c>
      <c r="Z3" s="494">
        <f>Y3/SUM(Q3:Q3)</f>
        <v>597.47597701149436</v>
      </c>
      <c r="AA3" s="486">
        <v>52</v>
      </c>
      <c r="AB3">
        <v>25</v>
      </c>
      <c r="AD3" s="497" t="s">
        <v>240</v>
      </c>
      <c r="AE3" s="497" t="s">
        <v>101</v>
      </c>
      <c r="AF3" s="499">
        <v>52</v>
      </c>
      <c r="AG3" s="2">
        <f>AB3</f>
        <v>25</v>
      </c>
      <c r="AH3" s="2">
        <f>AF3-AG3</f>
        <v>27</v>
      </c>
      <c r="AM3" s="505"/>
      <c r="AN3" s="505"/>
      <c r="AO3" s="506"/>
      <c r="AP3" s="2"/>
    </row>
    <row r="4" spans="1:42">
      <c r="A4" s="624" t="s">
        <v>238</v>
      </c>
      <c r="B4" s="491" t="s">
        <v>101</v>
      </c>
      <c r="C4" s="500">
        <v>810</v>
      </c>
      <c r="D4" s="195">
        <v>1.1000000000000001</v>
      </c>
      <c r="E4" s="489">
        <v>281</v>
      </c>
      <c r="F4" s="107">
        <f t="shared" ref="F4:F50" si="0">C4*D4*E4</f>
        <v>250371.00000000003</v>
      </c>
      <c r="G4" s="624">
        <v>1770</v>
      </c>
      <c r="H4" s="624">
        <v>3579</v>
      </c>
      <c r="I4" s="540">
        <v>670</v>
      </c>
      <c r="J4" s="590">
        <f>G4/H4*SUM(C4:C5)*I4</f>
        <v>576548.19782062026</v>
      </c>
      <c r="K4" s="582">
        <f>J4+SUM(F4:F5)</f>
        <v>1114382.1978206204</v>
      </c>
      <c r="L4" s="582">
        <f>K4/SUM(C4:C5)</f>
        <v>640.44953897736798</v>
      </c>
      <c r="M4" s="486">
        <v>61</v>
      </c>
      <c r="N4" s="500">
        <v>1830</v>
      </c>
      <c r="O4" s="624" t="s">
        <v>238</v>
      </c>
      <c r="P4" s="497" t="s">
        <v>101</v>
      </c>
      <c r="Q4" s="500">
        <v>810</v>
      </c>
      <c r="R4" s="195">
        <v>1.1000000000000001</v>
      </c>
      <c r="S4" s="495">
        <v>281</v>
      </c>
      <c r="T4" s="107">
        <f t="shared" ref="T4:T50" si="1">Q4*R4*S4</f>
        <v>250371.00000000003</v>
      </c>
      <c r="U4" s="624">
        <v>1770</v>
      </c>
      <c r="V4" s="624">
        <v>3579</v>
      </c>
      <c r="W4" s="540">
        <v>670</v>
      </c>
      <c r="X4" s="590">
        <f>U4/V4*SUM(Q4:Q5)*W4</f>
        <v>536786.25314333604</v>
      </c>
      <c r="Y4" s="582">
        <f>X4+SUM(T4:T5)</f>
        <v>1037528.2531433362</v>
      </c>
      <c r="Z4" s="582">
        <f>Y4/SUM(Q4:Q5)</f>
        <v>640.44953897736798</v>
      </c>
      <c r="AA4" s="486">
        <v>61</v>
      </c>
      <c r="AB4">
        <v>27</v>
      </c>
      <c r="AD4" s="624" t="s">
        <v>238</v>
      </c>
      <c r="AE4" s="497" t="s">
        <v>101</v>
      </c>
      <c r="AF4" s="499">
        <v>61</v>
      </c>
      <c r="AG4" s="2">
        <f t="shared" ref="AG4:AG50" si="2">AB4</f>
        <v>27</v>
      </c>
      <c r="AH4" s="2">
        <f t="shared" ref="AH4:AH50" si="3">AF4-AG4</f>
        <v>34</v>
      </c>
      <c r="AM4" s="624"/>
      <c r="AN4" s="505"/>
      <c r="AO4" s="506"/>
      <c r="AP4" s="2"/>
    </row>
    <row r="5" spans="1:42">
      <c r="A5" s="624"/>
      <c r="B5" s="491" t="s">
        <v>245</v>
      </c>
      <c r="C5" s="500">
        <v>930</v>
      </c>
      <c r="D5" s="195">
        <v>1.1000000000000001</v>
      </c>
      <c r="E5" s="489">
        <v>281</v>
      </c>
      <c r="F5" s="107">
        <f t="shared" si="0"/>
        <v>287463.00000000006</v>
      </c>
      <c r="G5" s="624"/>
      <c r="H5" s="624"/>
      <c r="I5" s="541"/>
      <c r="J5" s="590"/>
      <c r="K5" s="582"/>
      <c r="L5" s="582"/>
      <c r="M5" s="486">
        <v>58</v>
      </c>
      <c r="N5" s="500">
        <v>1749</v>
      </c>
      <c r="O5" s="624"/>
      <c r="P5" s="497" t="s">
        <v>245</v>
      </c>
      <c r="Q5" s="500">
        <v>810</v>
      </c>
      <c r="R5" s="195">
        <v>1.1000000000000001</v>
      </c>
      <c r="S5" s="495">
        <v>281</v>
      </c>
      <c r="T5" s="107">
        <f t="shared" si="1"/>
        <v>250371.00000000003</v>
      </c>
      <c r="U5" s="624"/>
      <c r="V5" s="624"/>
      <c r="W5" s="541"/>
      <c r="X5" s="590"/>
      <c r="Y5" s="582"/>
      <c r="Z5" s="582"/>
      <c r="AA5" s="486">
        <v>58</v>
      </c>
      <c r="AB5">
        <v>27</v>
      </c>
      <c r="AD5" s="624"/>
      <c r="AE5" s="497" t="s">
        <v>245</v>
      </c>
      <c r="AF5" s="499">
        <v>58</v>
      </c>
      <c r="AG5" s="2">
        <f t="shared" si="2"/>
        <v>27</v>
      </c>
      <c r="AH5" s="2">
        <f t="shared" si="3"/>
        <v>31</v>
      </c>
      <c r="AM5" s="624"/>
      <c r="AN5" s="505"/>
      <c r="AO5" s="506"/>
      <c r="AP5" s="2"/>
    </row>
    <row r="6" spans="1:42">
      <c r="A6" s="624" t="s">
        <v>386</v>
      </c>
      <c r="B6" s="491" t="s">
        <v>282</v>
      </c>
      <c r="C6" s="500">
        <v>1170</v>
      </c>
      <c r="D6" s="195">
        <v>0.98</v>
      </c>
      <c r="E6" s="489">
        <v>281</v>
      </c>
      <c r="F6" s="107">
        <f t="shared" si="0"/>
        <v>322194.59999999998</v>
      </c>
      <c r="G6" s="640">
        <v>3018</v>
      </c>
      <c r="H6" s="624">
        <v>6247</v>
      </c>
      <c r="I6" s="540">
        <v>670</v>
      </c>
      <c r="J6" s="590">
        <f>G6/H6*SUM(C6:C10)*I6</f>
        <v>1107973.6481511127</v>
      </c>
      <c r="K6" s="582">
        <f>J6+SUM(F6:F10)</f>
        <v>2057807.0381511126</v>
      </c>
      <c r="L6" s="582">
        <f>K6/SUM(C6:C10)</f>
        <v>601.17062172103783</v>
      </c>
      <c r="M6" s="486">
        <v>71</v>
      </c>
      <c r="N6" s="500">
        <v>2130</v>
      </c>
      <c r="O6" s="624" t="s">
        <v>386</v>
      </c>
      <c r="P6" s="497" t="s">
        <v>282</v>
      </c>
      <c r="Q6" s="500">
        <v>962</v>
      </c>
      <c r="R6" s="195">
        <v>0.98</v>
      </c>
      <c r="S6" s="495">
        <v>281</v>
      </c>
      <c r="T6" s="107">
        <f t="shared" si="1"/>
        <v>264915.56</v>
      </c>
      <c r="U6" s="640">
        <v>3018</v>
      </c>
      <c r="V6" s="624">
        <v>6247</v>
      </c>
      <c r="W6" s="540">
        <v>670</v>
      </c>
      <c r="X6" s="590">
        <f>U6/V6*SUM(Q6:Q10)*W6</f>
        <v>971702.27629262058</v>
      </c>
      <c r="Y6" s="582">
        <f>X6+SUM(T6:T10)</f>
        <v>1805558.5362926205</v>
      </c>
      <c r="Z6" s="582">
        <f>Y6/SUM(Q6:Q10)</f>
        <v>601.45187751253184</v>
      </c>
      <c r="AA6" s="486">
        <v>71</v>
      </c>
      <c r="AB6">
        <v>32</v>
      </c>
      <c r="AD6" s="624" t="s">
        <v>386</v>
      </c>
      <c r="AE6" s="497" t="s">
        <v>282</v>
      </c>
      <c r="AF6" s="499">
        <v>71</v>
      </c>
      <c r="AG6" s="2">
        <f t="shared" si="2"/>
        <v>32</v>
      </c>
      <c r="AH6" s="2">
        <f t="shared" si="3"/>
        <v>39</v>
      </c>
      <c r="AM6" s="624"/>
      <c r="AN6" s="505"/>
      <c r="AO6" s="506"/>
      <c r="AP6" s="2"/>
    </row>
    <row r="7" spans="1:42">
      <c r="A7" s="624"/>
      <c r="B7" s="491" t="s">
        <v>241</v>
      </c>
      <c r="C7" s="500">
        <v>870</v>
      </c>
      <c r="D7" s="195">
        <v>0.98</v>
      </c>
      <c r="E7" s="489">
        <v>281</v>
      </c>
      <c r="F7" s="107">
        <f t="shared" si="0"/>
        <v>239580.6</v>
      </c>
      <c r="G7" s="640"/>
      <c r="H7" s="624"/>
      <c r="I7" s="549"/>
      <c r="J7" s="590"/>
      <c r="K7" s="582"/>
      <c r="L7" s="582"/>
      <c r="M7" s="486">
        <v>53</v>
      </c>
      <c r="N7" s="500">
        <v>1590</v>
      </c>
      <c r="O7" s="624"/>
      <c r="P7" s="497" t="s">
        <v>241</v>
      </c>
      <c r="Q7" s="500">
        <v>780</v>
      </c>
      <c r="R7" s="195">
        <v>0.98</v>
      </c>
      <c r="S7" s="495">
        <v>281</v>
      </c>
      <c r="T7" s="107">
        <f t="shared" si="1"/>
        <v>214796.4</v>
      </c>
      <c r="U7" s="640"/>
      <c r="V7" s="624"/>
      <c r="W7" s="549"/>
      <c r="X7" s="590"/>
      <c r="Y7" s="582"/>
      <c r="Z7" s="582"/>
      <c r="AA7" s="486">
        <v>53</v>
      </c>
      <c r="AB7">
        <v>26</v>
      </c>
      <c r="AD7" s="624"/>
      <c r="AE7" s="497" t="s">
        <v>241</v>
      </c>
      <c r="AF7" s="499">
        <v>53</v>
      </c>
      <c r="AG7" s="2">
        <f t="shared" si="2"/>
        <v>26</v>
      </c>
      <c r="AH7" s="2">
        <f t="shared" si="3"/>
        <v>27</v>
      </c>
      <c r="AM7" s="624"/>
      <c r="AN7" s="505"/>
      <c r="AO7" s="506"/>
      <c r="AP7" s="2"/>
    </row>
    <row r="8" spans="1:42">
      <c r="A8" s="624"/>
      <c r="B8" s="491" t="s">
        <v>95</v>
      </c>
      <c r="C8" s="500">
        <v>390</v>
      </c>
      <c r="D8" s="195">
        <v>0.98</v>
      </c>
      <c r="E8" s="489">
        <v>281</v>
      </c>
      <c r="F8" s="107">
        <f t="shared" si="0"/>
        <v>107398.2</v>
      </c>
      <c r="G8" s="640"/>
      <c r="H8" s="624"/>
      <c r="I8" s="549"/>
      <c r="J8" s="590"/>
      <c r="K8" s="582"/>
      <c r="L8" s="582"/>
      <c r="M8" s="486">
        <v>25</v>
      </c>
      <c r="N8" s="500">
        <v>732</v>
      </c>
      <c r="O8" s="624"/>
      <c r="P8" s="497" t="s">
        <v>95</v>
      </c>
      <c r="Q8" s="500">
        <f t="shared" ref="Q8:Q33" si="4">AB8*30</f>
        <v>360</v>
      </c>
      <c r="R8" s="195">
        <v>0.98</v>
      </c>
      <c r="S8" s="495">
        <v>281</v>
      </c>
      <c r="T8" s="107">
        <f t="shared" si="1"/>
        <v>99136.8</v>
      </c>
      <c r="U8" s="640"/>
      <c r="V8" s="624"/>
      <c r="W8" s="549"/>
      <c r="X8" s="590"/>
      <c r="Y8" s="582"/>
      <c r="Z8" s="582"/>
      <c r="AA8" s="486">
        <v>25</v>
      </c>
      <c r="AB8">
        <v>12</v>
      </c>
      <c r="AD8" s="624"/>
      <c r="AE8" s="497" t="s">
        <v>95</v>
      </c>
      <c r="AF8" s="499">
        <v>25</v>
      </c>
      <c r="AG8" s="2">
        <f t="shared" si="2"/>
        <v>12</v>
      </c>
      <c r="AH8" s="2">
        <f t="shared" si="3"/>
        <v>13</v>
      </c>
      <c r="AM8" s="624"/>
      <c r="AN8" s="505"/>
      <c r="AO8" s="506"/>
      <c r="AP8" s="2"/>
    </row>
    <row r="9" spans="1:42">
      <c r="A9" s="624"/>
      <c r="B9" s="491" t="s">
        <v>281</v>
      </c>
      <c r="C9" s="500">
        <v>480</v>
      </c>
      <c r="D9" s="195">
        <v>0.98</v>
      </c>
      <c r="E9" s="489">
        <v>281</v>
      </c>
      <c r="F9" s="107">
        <f t="shared" si="0"/>
        <v>132182.39999999999</v>
      </c>
      <c r="G9" s="640"/>
      <c r="H9" s="624"/>
      <c r="I9" s="549"/>
      <c r="J9" s="590"/>
      <c r="K9" s="582"/>
      <c r="L9" s="582"/>
      <c r="M9" s="486">
        <v>29</v>
      </c>
      <c r="N9" s="500">
        <v>870</v>
      </c>
      <c r="O9" s="624"/>
      <c r="P9" s="497" t="s">
        <v>281</v>
      </c>
      <c r="Q9" s="500">
        <f t="shared" si="4"/>
        <v>390</v>
      </c>
      <c r="R9" s="195">
        <v>0.98</v>
      </c>
      <c r="S9" s="495">
        <v>281</v>
      </c>
      <c r="T9" s="107">
        <f t="shared" si="1"/>
        <v>107398.2</v>
      </c>
      <c r="U9" s="640"/>
      <c r="V9" s="624"/>
      <c r="W9" s="549"/>
      <c r="X9" s="590"/>
      <c r="Y9" s="582"/>
      <c r="Z9" s="582"/>
      <c r="AA9" s="486">
        <v>29</v>
      </c>
      <c r="AB9">
        <v>13</v>
      </c>
      <c r="AD9" s="624"/>
      <c r="AE9" s="497" t="s">
        <v>281</v>
      </c>
      <c r="AF9" s="499">
        <v>29</v>
      </c>
      <c r="AG9" s="2">
        <f t="shared" si="2"/>
        <v>13</v>
      </c>
      <c r="AH9" s="2">
        <f t="shared" si="3"/>
        <v>16</v>
      </c>
      <c r="AM9" s="624"/>
      <c r="AN9" s="505"/>
      <c r="AO9" s="506"/>
      <c r="AP9" s="2"/>
    </row>
    <row r="10" spans="1:42">
      <c r="A10" s="624"/>
      <c r="B10" s="491" t="s">
        <v>390</v>
      </c>
      <c r="C10" s="500">
        <v>513</v>
      </c>
      <c r="D10" s="195">
        <v>1.03</v>
      </c>
      <c r="E10" s="489">
        <v>281</v>
      </c>
      <c r="F10" s="107">
        <f t="shared" si="0"/>
        <v>148477.59</v>
      </c>
      <c r="G10" s="640"/>
      <c r="H10" s="624"/>
      <c r="I10" s="541"/>
      <c r="J10" s="590"/>
      <c r="K10" s="582"/>
      <c r="L10" s="582"/>
      <c r="M10" s="486">
        <v>31</v>
      </c>
      <c r="N10" s="500">
        <v>925</v>
      </c>
      <c r="O10" s="624"/>
      <c r="P10" s="497" t="s">
        <v>390</v>
      </c>
      <c r="Q10" s="500">
        <v>510</v>
      </c>
      <c r="R10" s="195">
        <v>1.03</v>
      </c>
      <c r="S10" s="495">
        <v>281</v>
      </c>
      <c r="T10" s="107">
        <f t="shared" si="1"/>
        <v>147609.30000000002</v>
      </c>
      <c r="U10" s="640"/>
      <c r="V10" s="624"/>
      <c r="W10" s="541"/>
      <c r="X10" s="590"/>
      <c r="Y10" s="582"/>
      <c r="Z10" s="582"/>
      <c r="AA10" s="486">
        <v>31</v>
      </c>
      <c r="AB10">
        <v>14</v>
      </c>
      <c r="AD10" s="624"/>
      <c r="AE10" s="497" t="s">
        <v>390</v>
      </c>
      <c r="AF10" s="499">
        <v>31</v>
      </c>
      <c r="AG10" s="2">
        <f t="shared" si="2"/>
        <v>14</v>
      </c>
      <c r="AH10" s="2">
        <f t="shared" si="3"/>
        <v>17</v>
      </c>
      <c r="AM10" s="624"/>
      <c r="AN10" s="505"/>
      <c r="AO10" s="506"/>
      <c r="AP10" s="2"/>
    </row>
    <row r="11" spans="1:42">
      <c r="A11" s="624" t="s">
        <v>387</v>
      </c>
      <c r="B11" s="491" t="s">
        <v>391</v>
      </c>
      <c r="C11" s="500">
        <v>510</v>
      </c>
      <c r="D11" s="195">
        <v>1.1000000000000001</v>
      </c>
      <c r="E11" s="489">
        <v>281</v>
      </c>
      <c r="F11" s="107">
        <f t="shared" si="0"/>
        <v>157641</v>
      </c>
      <c r="G11" s="640">
        <v>2445</v>
      </c>
      <c r="H11" s="640">
        <v>4215</v>
      </c>
      <c r="I11" s="540">
        <v>670</v>
      </c>
      <c r="J11" s="590">
        <f>G11/H11*SUM(C11:C14)*I11</f>
        <v>856968.14946619223</v>
      </c>
      <c r="K11" s="582">
        <f>J11+SUM(F11:F14)</f>
        <v>1538533.6494661923</v>
      </c>
      <c r="L11" s="582">
        <f>K11/SUM(C11:C14)</f>
        <v>697.74768683274033</v>
      </c>
      <c r="M11" s="486">
        <v>31</v>
      </c>
      <c r="N11" s="500">
        <v>930</v>
      </c>
      <c r="O11" s="624" t="s">
        <v>387</v>
      </c>
      <c r="P11" s="497" t="s">
        <v>391</v>
      </c>
      <c r="Q11" s="500">
        <v>420</v>
      </c>
      <c r="R11" s="195">
        <v>1.1000000000000001</v>
      </c>
      <c r="S11" s="495">
        <v>281</v>
      </c>
      <c r="T11" s="107">
        <f t="shared" si="1"/>
        <v>129822.00000000001</v>
      </c>
      <c r="U11" s="640">
        <v>2445</v>
      </c>
      <c r="V11" s="640">
        <v>4215</v>
      </c>
      <c r="W11" s="540">
        <v>670</v>
      </c>
      <c r="X11" s="590">
        <f>U11/V11*SUM(Q11:Q14)*W11</f>
        <v>757862.98932384339</v>
      </c>
      <c r="Y11" s="582">
        <f>X11+SUM(T11:T14)</f>
        <v>1360607.9893238435</v>
      </c>
      <c r="Z11" s="582">
        <f>Y11/SUM(Q11:Q14)</f>
        <v>697.74768683274021</v>
      </c>
      <c r="AA11" s="486">
        <v>31</v>
      </c>
      <c r="AB11">
        <v>13</v>
      </c>
      <c r="AD11" s="624" t="s">
        <v>387</v>
      </c>
      <c r="AE11" s="497" t="s">
        <v>391</v>
      </c>
      <c r="AF11" s="499">
        <v>31</v>
      </c>
      <c r="AG11" s="2">
        <f t="shared" si="2"/>
        <v>13</v>
      </c>
      <c r="AH11" s="2">
        <f t="shared" si="3"/>
        <v>18</v>
      </c>
      <c r="AM11" s="624"/>
      <c r="AN11" s="505"/>
      <c r="AO11" s="506"/>
      <c r="AP11" s="2"/>
    </row>
    <row r="12" spans="1:42">
      <c r="A12" s="624"/>
      <c r="B12" s="491" t="s">
        <v>390</v>
      </c>
      <c r="C12" s="500">
        <v>902</v>
      </c>
      <c r="D12" s="195">
        <v>1.1000000000000001</v>
      </c>
      <c r="E12" s="489">
        <v>281</v>
      </c>
      <c r="F12" s="107">
        <f t="shared" si="0"/>
        <v>278808.2</v>
      </c>
      <c r="G12" s="640"/>
      <c r="H12" s="640"/>
      <c r="I12" s="549"/>
      <c r="J12" s="590"/>
      <c r="K12" s="582"/>
      <c r="L12" s="582"/>
      <c r="M12" s="486">
        <v>56</v>
      </c>
      <c r="N12" s="500">
        <v>1682</v>
      </c>
      <c r="O12" s="624"/>
      <c r="P12" s="497" t="s">
        <v>390</v>
      </c>
      <c r="Q12" s="500">
        <v>780</v>
      </c>
      <c r="R12" s="195">
        <v>1.1000000000000001</v>
      </c>
      <c r="S12" s="495">
        <v>281</v>
      </c>
      <c r="T12" s="107">
        <f t="shared" si="1"/>
        <v>241098.00000000003</v>
      </c>
      <c r="U12" s="640"/>
      <c r="V12" s="640"/>
      <c r="W12" s="549"/>
      <c r="X12" s="590"/>
      <c r="Y12" s="582"/>
      <c r="Z12" s="582"/>
      <c r="AA12" s="486">
        <v>56</v>
      </c>
      <c r="AB12">
        <v>24</v>
      </c>
      <c r="AD12" s="624"/>
      <c r="AE12" s="497" t="s">
        <v>390</v>
      </c>
      <c r="AF12" s="499">
        <v>56</v>
      </c>
      <c r="AG12" s="2">
        <f t="shared" si="2"/>
        <v>24</v>
      </c>
      <c r="AH12" s="2">
        <f t="shared" si="3"/>
        <v>32</v>
      </c>
      <c r="AM12" s="624"/>
      <c r="AN12" s="505"/>
      <c r="AO12" s="506"/>
      <c r="AP12" s="2"/>
    </row>
    <row r="13" spans="1:42">
      <c r="A13" s="624"/>
      <c r="B13" s="491" t="s">
        <v>397</v>
      </c>
      <c r="C13" s="500">
        <v>420</v>
      </c>
      <c r="D13" s="195">
        <v>1.1000000000000001</v>
      </c>
      <c r="E13" s="489">
        <v>281</v>
      </c>
      <c r="F13" s="107">
        <f t="shared" si="0"/>
        <v>129822.00000000001</v>
      </c>
      <c r="G13" s="640"/>
      <c r="H13" s="640"/>
      <c r="I13" s="549"/>
      <c r="J13" s="590"/>
      <c r="K13" s="582"/>
      <c r="L13" s="582"/>
      <c r="M13" s="486">
        <v>30</v>
      </c>
      <c r="N13" s="500">
        <v>900</v>
      </c>
      <c r="O13" s="624"/>
      <c r="P13" s="497" t="s">
        <v>397</v>
      </c>
      <c r="Q13" s="500">
        <v>420</v>
      </c>
      <c r="R13" s="195">
        <v>1.1000000000000001</v>
      </c>
      <c r="S13" s="495">
        <v>281</v>
      </c>
      <c r="T13" s="107">
        <f t="shared" si="1"/>
        <v>129822.00000000001</v>
      </c>
      <c r="U13" s="640"/>
      <c r="V13" s="640"/>
      <c r="W13" s="549"/>
      <c r="X13" s="590"/>
      <c r="Y13" s="582"/>
      <c r="Z13" s="582"/>
      <c r="AA13" s="486">
        <v>30</v>
      </c>
      <c r="AB13">
        <v>13</v>
      </c>
      <c r="AD13" s="624"/>
      <c r="AE13" s="497" t="s">
        <v>397</v>
      </c>
      <c r="AF13" s="499">
        <v>30</v>
      </c>
      <c r="AG13" s="2">
        <f t="shared" si="2"/>
        <v>13</v>
      </c>
      <c r="AH13" s="2">
        <f t="shared" si="3"/>
        <v>17</v>
      </c>
      <c r="AM13" s="624"/>
      <c r="AN13" s="505"/>
      <c r="AO13" s="506"/>
      <c r="AP13" s="2"/>
    </row>
    <row r="14" spans="1:42">
      <c r="A14" s="624"/>
      <c r="B14" s="491" t="s">
        <v>398</v>
      </c>
      <c r="C14" s="500">
        <v>373</v>
      </c>
      <c r="D14" s="195">
        <v>1.1000000000000001</v>
      </c>
      <c r="E14" s="489">
        <v>281</v>
      </c>
      <c r="F14" s="107">
        <f t="shared" si="0"/>
        <v>115294.3</v>
      </c>
      <c r="G14" s="640"/>
      <c r="H14" s="640"/>
      <c r="I14" s="541"/>
      <c r="J14" s="590"/>
      <c r="K14" s="582"/>
      <c r="L14" s="582"/>
      <c r="M14" s="486">
        <v>23</v>
      </c>
      <c r="N14" s="500">
        <v>703</v>
      </c>
      <c r="O14" s="624"/>
      <c r="P14" s="497" t="s">
        <v>398</v>
      </c>
      <c r="Q14" s="500">
        <v>330</v>
      </c>
      <c r="R14" s="195">
        <v>1.1000000000000001</v>
      </c>
      <c r="S14" s="495">
        <v>281</v>
      </c>
      <c r="T14" s="107">
        <f t="shared" si="1"/>
        <v>102003.00000000001</v>
      </c>
      <c r="U14" s="640"/>
      <c r="V14" s="640"/>
      <c r="W14" s="541"/>
      <c r="X14" s="590"/>
      <c r="Y14" s="582"/>
      <c r="Z14" s="582"/>
      <c r="AA14" s="486">
        <v>23</v>
      </c>
      <c r="AB14">
        <v>10</v>
      </c>
      <c r="AD14" s="624"/>
      <c r="AE14" s="497" t="s">
        <v>398</v>
      </c>
      <c r="AF14" s="499">
        <v>23</v>
      </c>
      <c r="AG14" s="2">
        <f t="shared" si="2"/>
        <v>10</v>
      </c>
      <c r="AH14" s="2">
        <f t="shared" si="3"/>
        <v>13</v>
      </c>
      <c r="AM14" s="624"/>
      <c r="AN14" s="505"/>
      <c r="AO14" s="506"/>
      <c r="AP14" s="2"/>
    </row>
    <row r="15" spans="1:42">
      <c r="A15" s="624" t="s">
        <v>240</v>
      </c>
      <c r="B15" s="491" t="s">
        <v>112</v>
      </c>
      <c r="C15" s="500">
        <v>600</v>
      </c>
      <c r="D15" s="195">
        <v>0.9</v>
      </c>
      <c r="E15" s="489">
        <v>281</v>
      </c>
      <c r="F15" s="107">
        <f t="shared" si="0"/>
        <v>151740</v>
      </c>
      <c r="G15" s="616">
        <v>2910</v>
      </c>
      <c r="H15" s="640">
        <v>6051</v>
      </c>
      <c r="I15" s="540">
        <v>670</v>
      </c>
      <c r="J15" s="590">
        <f>G15/H15*SUM(C15:C19)*I15</f>
        <v>1097451.3634110065</v>
      </c>
      <c r="K15" s="582">
        <f>J15+SUM(F15:F19)</f>
        <v>1958828.7634110064</v>
      </c>
      <c r="L15" s="582">
        <f>K15/SUM(C15:C19)</f>
        <v>575.11120475954385</v>
      </c>
      <c r="M15" s="486">
        <v>33</v>
      </c>
      <c r="N15" s="500">
        <v>999</v>
      </c>
      <c r="O15" s="624" t="s">
        <v>240</v>
      </c>
      <c r="P15" s="497" t="s">
        <v>112</v>
      </c>
      <c r="Q15" s="500">
        <v>399</v>
      </c>
      <c r="R15" s="195">
        <v>0.9</v>
      </c>
      <c r="S15" s="495">
        <v>281</v>
      </c>
      <c r="T15" s="107">
        <f t="shared" si="1"/>
        <v>100907.1</v>
      </c>
      <c r="U15" s="616">
        <v>2910</v>
      </c>
      <c r="V15" s="640">
        <v>6051</v>
      </c>
      <c r="W15" s="540">
        <v>670</v>
      </c>
      <c r="X15" s="590">
        <f>U15/V15*SUM(Q15:Q19)*W15</f>
        <v>836138.07635101641</v>
      </c>
      <c r="Y15" s="582">
        <f>X15+SUM(T15:T19)</f>
        <v>1492413.5763510163</v>
      </c>
      <c r="Z15" s="582">
        <f>Y15/SUM(Q15:Q19)</f>
        <v>575.11120475954385</v>
      </c>
      <c r="AA15" s="486">
        <v>33</v>
      </c>
      <c r="AB15">
        <v>15</v>
      </c>
      <c r="AD15" s="624" t="s">
        <v>240</v>
      </c>
      <c r="AE15" s="497" t="s">
        <v>112</v>
      </c>
      <c r="AF15" s="499">
        <v>33</v>
      </c>
      <c r="AG15" s="2">
        <f t="shared" si="2"/>
        <v>15</v>
      </c>
      <c r="AH15" s="2">
        <f t="shared" si="3"/>
        <v>18</v>
      </c>
      <c r="AM15" s="624"/>
      <c r="AN15" s="505"/>
      <c r="AO15" s="506"/>
      <c r="AP15" s="2"/>
    </row>
    <row r="16" spans="1:42">
      <c r="A16" s="624"/>
      <c r="B16" s="491" t="s">
        <v>392</v>
      </c>
      <c r="C16" s="500">
        <v>858</v>
      </c>
      <c r="D16" s="195">
        <v>0.9</v>
      </c>
      <c r="E16" s="489">
        <v>281</v>
      </c>
      <c r="F16" s="107">
        <f t="shared" si="0"/>
        <v>216988.2</v>
      </c>
      <c r="G16" s="616"/>
      <c r="H16" s="640"/>
      <c r="I16" s="549"/>
      <c r="J16" s="590"/>
      <c r="K16" s="582"/>
      <c r="L16" s="582"/>
      <c r="M16" s="486">
        <v>51</v>
      </c>
      <c r="N16" s="500">
        <v>1552</v>
      </c>
      <c r="O16" s="624"/>
      <c r="P16" s="497" t="s">
        <v>392</v>
      </c>
      <c r="Q16" s="500">
        <v>662</v>
      </c>
      <c r="R16" s="195">
        <v>0.9</v>
      </c>
      <c r="S16" s="495">
        <v>281</v>
      </c>
      <c r="T16" s="107">
        <f t="shared" si="1"/>
        <v>167419.80000000002</v>
      </c>
      <c r="U16" s="616"/>
      <c r="V16" s="640"/>
      <c r="W16" s="549"/>
      <c r="X16" s="590"/>
      <c r="Y16" s="582"/>
      <c r="Z16" s="582"/>
      <c r="AA16" s="486">
        <v>51</v>
      </c>
      <c r="AB16">
        <v>23</v>
      </c>
      <c r="AD16" s="624"/>
      <c r="AE16" s="497" t="s">
        <v>392</v>
      </c>
      <c r="AF16" s="499">
        <v>51</v>
      </c>
      <c r="AG16" s="2">
        <f t="shared" si="2"/>
        <v>23</v>
      </c>
      <c r="AH16" s="2">
        <f t="shared" si="3"/>
        <v>28</v>
      </c>
      <c r="AM16" s="624"/>
      <c r="AN16" s="505"/>
      <c r="AO16" s="506"/>
      <c r="AP16" s="2"/>
    </row>
    <row r="17" spans="1:42">
      <c r="A17" s="624"/>
      <c r="B17" s="491" t="s">
        <v>95</v>
      </c>
      <c r="C17" s="500">
        <v>840</v>
      </c>
      <c r="D17" s="195">
        <v>0.9</v>
      </c>
      <c r="E17" s="489">
        <v>281</v>
      </c>
      <c r="F17" s="107">
        <f t="shared" si="0"/>
        <v>212436</v>
      </c>
      <c r="G17" s="616"/>
      <c r="H17" s="640"/>
      <c r="I17" s="549"/>
      <c r="J17" s="590"/>
      <c r="K17" s="582"/>
      <c r="L17" s="582"/>
      <c r="M17" s="486">
        <v>49</v>
      </c>
      <c r="N17" s="500">
        <v>1462</v>
      </c>
      <c r="O17" s="624"/>
      <c r="P17" s="497" t="s">
        <v>95</v>
      </c>
      <c r="Q17" s="500">
        <v>604</v>
      </c>
      <c r="R17" s="195">
        <v>0.9</v>
      </c>
      <c r="S17" s="495">
        <v>281</v>
      </c>
      <c r="T17" s="107">
        <f t="shared" si="1"/>
        <v>152751.6</v>
      </c>
      <c r="U17" s="616"/>
      <c r="V17" s="640"/>
      <c r="W17" s="549"/>
      <c r="X17" s="590"/>
      <c r="Y17" s="582"/>
      <c r="Z17" s="582"/>
      <c r="AA17" s="486">
        <v>49</v>
      </c>
      <c r="AB17">
        <v>21</v>
      </c>
      <c r="AD17" s="624"/>
      <c r="AE17" s="497" t="s">
        <v>95</v>
      </c>
      <c r="AF17" s="499">
        <v>49</v>
      </c>
      <c r="AG17" s="2">
        <f t="shared" si="2"/>
        <v>21</v>
      </c>
      <c r="AH17" s="2">
        <f t="shared" si="3"/>
        <v>28</v>
      </c>
      <c r="AM17" s="624"/>
      <c r="AN17" s="505"/>
      <c r="AO17" s="506"/>
      <c r="AP17" s="2"/>
    </row>
    <row r="18" spans="1:42">
      <c r="A18" s="624"/>
      <c r="B18" s="491" t="s">
        <v>329</v>
      </c>
      <c r="C18" s="500">
        <v>599</v>
      </c>
      <c r="D18" s="195">
        <v>0.9</v>
      </c>
      <c r="E18" s="489">
        <v>281</v>
      </c>
      <c r="F18" s="107">
        <f t="shared" si="0"/>
        <v>151487.1</v>
      </c>
      <c r="G18" s="616"/>
      <c r="H18" s="640"/>
      <c r="I18" s="549"/>
      <c r="J18" s="590"/>
      <c r="K18" s="582"/>
      <c r="L18" s="582"/>
      <c r="M18" s="486">
        <v>37</v>
      </c>
      <c r="N18" s="500">
        <v>1109</v>
      </c>
      <c r="O18" s="624"/>
      <c r="P18" s="497" t="s">
        <v>329</v>
      </c>
      <c r="Q18" s="500">
        <v>510</v>
      </c>
      <c r="R18" s="195">
        <v>0.9</v>
      </c>
      <c r="S18" s="495">
        <v>281</v>
      </c>
      <c r="T18" s="107">
        <f t="shared" si="1"/>
        <v>128979</v>
      </c>
      <c r="U18" s="616"/>
      <c r="V18" s="640"/>
      <c r="W18" s="549"/>
      <c r="X18" s="590"/>
      <c r="Y18" s="582"/>
      <c r="Z18" s="582"/>
      <c r="AA18" s="486">
        <v>37</v>
      </c>
      <c r="AB18">
        <v>17</v>
      </c>
      <c r="AD18" s="624"/>
      <c r="AE18" s="497" t="s">
        <v>329</v>
      </c>
      <c r="AF18" s="499">
        <v>37</v>
      </c>
      <c r="AG18" s="2">
        <f t="shared" si="2"/>
        <v>17</v>
      </c>
      <c r="AH18" s="2">
        <f t="shared" si="3"/>
        <v>20</v>
      </c>
      <c r="AM18" s="624"/>
      <c r="AN18" s="505"/>
      <c r="AO18" s="506"/>
      <c r="AP18" s="2"/>
    </row>
    <row r="19" spans="1:42">
      <c r="A19" s="624"/>
      <c r="B19" s="491" t="s">
        <v>281</v>
      </c>
      <c r="C19" s="500">
        <v>509</v>
      </c>
      <c r="D19" s="195">
        <v>0.9</v>
      </c>
      <c r="E19" s="489">
        <v>281</v>
      </c>
      <c r="F19" s="107">
        <f t="shared" si="0"/>
        <v>128726.1</v>
      </c>
      <c r="G19" s="616"/>
      <c r="H19" s="640"/>
      <c r="I19" s="541"/>
      <c r="J19" s="590"/>
      <c r="K19" s="582"/>
      <c r="L19" s="582"/>
      <c r="M19" s="486">
        <v>31</v>
      </c>
      <c r="N19" s="500">
        <v>929</v>
      </c>
      <c r="O19" s="624"/>
      <c r="P19" s="497" t="s">
        <v>281</v>
      </c>
      <c r="Q19" s="500">
        <v>420</v>
      </c>
      <c r="R19" s="195">
        <v>0.9</v>
      </c>
      <c r="S19" s="495">
        <v>281</v>
      </c>
      <c r="T19" s="107">
        <f t="shared" si="1"/>
        <v>106218</v>
      </c>
      <c r="U19" s="616"/>
      <c r="V19" s="640"/>
      <c r="W19" s="541"/>
      <c r="X19" s="590"/>
      <c r="Y19" s="582"/>
      <c r="Z19" s="582"/>
      <c r="AA19" s="486">
        <v>31</v>
      </c>
      <c r="AB19">
        <v>14</v>
      </c>
      <c r="AD19" s="624"/>
      <c r="AE19" s="497" t="s">
        <v>281</v>
      </c>
      <c r="AF19" s="499">
        <v>31</v>
      </c>
      <c r="AG19" s="2">
        <f t="shared" si="2"/>
        <v>14</v>
      </c>
      <c r="AH19" s="2">
        <f t="shared" si="3"/>
        <v>17</v>
      </c>
      <c r="AM19" s="624"/>
      <c r="AN19" s="505"/>
      <c r="AO19" s="506"/>
      <c r="AP19" s="2"/>
    </row>
    <row r="20" spans="1:42">
      <c r="A20" s="624" t="s">
        <v>238</v>
      </c>
      <c r="B20" s="491" t="s">
        <v>101</v>
      </c>
      <c r="C20" s="500">
        <v>420</v>
      </c>
      <c r="D20" s="195">
        <v>1.02</v>
      </c>
      <c r="E20" s="489">
        <v>281</v>
      </c>
      <c r="F20" s="107">
        <f t="shared" si="0"/>
        <v>120380.40000000001</v>
      </c>
      <c r="G20" s="616">
        <v>5195</v>
      </c>
      <c r="H20" s="640">
        <v>10217</v>
      </c>
      <c r="I20" s="540">
        <v>670</v>
      </c>
      <c r="J20" s="590">
        <f>G20/H20*SUM(C20:C26)*I20</f>
        <v>1972152.5741411371</v>
      </c>
      <c r="K20" s="582">
        <f>J20+SUM(F20:F26)</f>
        <v>3631395.754141137</v>
      </c>
      <c r="L20" s="582">
        <f>K20/SUM(C20:C26)</f>
        <v>627.29240873054709</v>
      </c>
      <c r="M20" s="486">
        <v>25</v>
      </c>
      <c r="N20" s="500">
        <v>750</v>
      </c>
      <c r="O20" s="624" t="s">
        <v>238</v>
      </c>
      <c r="P20" s="497" t="s">
        <v>101</v>
      </c>
      <c r="Q20" s="500">
        <v>360</v>
      </c>
      <c r="R20" s="195">
        <v>1.02</v>
      </c>
      <c r="S20" s="495">
        <v>281</v>
      </c>
      <c r="T20" s="107">
        <f t="shared" si="1"/>
        <v>103183.2</v>
      </c>
      <c r="U20" s="616">
        <v>5195</v>
      </c>
      <c r="V20" s="640">
        <v>10217</v>
      </c>
      <c r="W20" s="540">
        <v>670</v>
      </c>
      <c r="X20" s="590">
        <f>U20/V20*SUM(Q20:Q26)*W20</f>
        <v>1511563.4775374373</v>
      </c>
      <c r="Y20" s="582">
        <f>X20+SUM(T20:T26)</f>
        <v>2783296.4175374373</v>
      </c>
      <c r="Z20" s="582">
        <f>Y20/SUM(Q20:Q26)</f>
        <v>627.29240873054709</v>
      </c>
      <c r="AA20" s="486">
        <v>25</v>
      </c>
      <c r="AB20">
        <v>12</v>
      </c>
      <c r="AD20" s="624" t="s">
        <v>238</v>
      </c>
      <c r="AE20" s="497" t="s">
        <v>101</v>
      </c>
      <c r="AF20" s="499">
        <v>25</v>
      </c>
      <c r="AG20" s="2">
        <f t="shared" si="2"/>
        <v>12</v>
      </c>
      <c r="AH20" s="2">
        <f t="shared" si="3"/>
        <v>13</v>
      </c>
      <c r="AM20" s="624"/>
      <c r="AN20" s="505"/>
      <c r="AO20" s="506"/>
      <c r="AP20" s="2"/>
    </row>
    <row r="21" spans="1:42">
      <c r="A21" s="624"/>
      <c r="B21" s="491" t="s">
        <v>150</v>
      </c>
      <c r="C21" s="500">
        <v>682</v>
      </c>
      <c r="D21" s="195">
        <v>1.02</v>
      </c>
      <c r="E21" s="489">
        <v>281</v>
      </c>
      <c r="F21" s="107">
        <f t="shared" si="0"/>
        <v>195474.84</v>
      </c>
      <c r="G21" s="616"/>
      <c r="H21" s="640"/>
      <c r="I21" s="549"/>
      <c r="J21" s="590"/>
      <c r="K21" s="582"/>
      <c r="L21" s="582"/>
      <c r="M21" s="486">
        <v>43</v>
      </c>
      <c r="N21" s="500">
        <v>1282</v>
      </c>
      <c r="O21" s="624"/>
      <c r="P21" s="497" t="s">
        <v>150</v>
      </c>
      <c r="Q21" s="500">
        <f t="shared" si="4"/>
        <v>600</v>
      </c>
      <c r="R21" s="195">
        <v>1.02</v>
      </c>
      <c r="S21" s="495">
        <v>281</v>
      </c>
      <c r="T21" s="107">
        <f t="shared" si="1"/>
        <v>171972</v>
      </c>
      <c r="U21" s="616"/>
      <c r="V21" s="640"/>
      <c r="W21" s="549"/>
      <c r="X21" s="590"/>
      <c r="Y21" s="582"/>
      <c r="Z21" s="582"/>
      <c r="AA21" s="486">
        <v>43</v>
      </c>
      <c r="AB21">
        <v>20</v>
      </c>
      <c r="AD21" s="624"/>
      <c r="AE21" s="497" t="s">
        <v>150</v>
      </c>
      <c r="AF21" s="499">
        <v>43</v>
      </c>
      <c r="AG21" s="2">
        <f t="shared" si="2"/>
        <v>20</v>
      </c>
      <c r="AH21" s="2">
        <f t="shared" si="3"/>
        <v>23</v>
      </c>
      <c r="AM21" s="624"/>
      <c r="AN21" s="505"/>
      <c r="AO21" s="506"/>
      <c r="AP21" s="2"/>
    </row>
    <row r="22" spans="1:42">
      <c r="A22" s="624"/>
      <c r="B22" s="491" t="s">
        <v>95</v>
      </c>
      <c r="C22" s="500">
        <v>1140</v>
      </c>
      <c r="D22" s="195">
        <v>1.02</v>
      </c>
      <c r="E22" s="489">
        <v>281</v>
      </c>
      <c r="F22" s="107">
        <f t="shared" si="0"/>
        <v>326746.8</v>
      </c>
      <c r="G22" s="616"/>
      <c r="H22" s="640"/>
      <c r="I22" s="549"/>
      <c r="J22" s="590"/>
      <c r="K22" s="582"/>
      <c r="L22" s="582"/>
      <c r="M22" s="486">
        <v>64</v>
      </c>
      <c r="N22" s="500">
        <v>1933</v>
      </c>
      <c r="O22" s="624"/>
      <c r="P22" s="497" t="s">
        <v>95</v>
      </c>
      <c r="Q22" s="500">
        <v>793</v>
      </c>
      <c r="R22" s="195">
        <v>1.02</v>
      </c>
      <c r="S22" s="495">
        <v>281</v>
      </c>
      <c r="T22" s="107">
        <f t="shared" si="1"/>
        <v>227289.66</v>
      </c>
      <c r="U22" s="616"/>
      <c r="V22" s="640"/>
      <c r="W22" s="549"/>
      <c r="X22" s="590"/>
      <c r="Y22" s="582"/>
      <c r="Z22" s="582"/>
      <c r="AA22" s="486">
        <v>64</v>
      </c>
      <c r="AB22">
        <v>26</v>
      </c>
      <c r="AD22" s="624"/>
      <c r="AE22" s="497" t="s">
        <v>95</v>
      </c>
      <c r="AF22" s="499">
        <v>64</v>
      </c>
      <c r="AG22" s="2">
        <f t="shared" si="2"/>
        <v>26</v>
      </c>
      <c r="AH22" s="2">
        <f t="shared" si="3"/>
        <v>38</v>
      </c>
      <c r="AM22" s="624"/>
      <c r="AN22" s="505"/>
      <c r="AO22" s="506"/>
      <c r="AP22" s="2"/>
    </row>
    <row r="23" spans="1:42">
      <c r="A23" s="624"/>
      <c r="B23" s="491" t="s">
        <v>102</v>
      </c>
      <c r="C23" s="500">
        <v>1140</v>
      </c>
      <c r="D23" s="195">
        <v>1.02</v>
      </c>
      <c r="E23" s="489">
        <v>281</v>
      </c>
      <c r="F23" s="107">
        <f t="shared" si="0"/>
        <v>326746.8</v>
      </c>
      <c r="G23" s="616"/>
      <c r="H23" s="640"/>
      <c r="I23" s="549"/>
      <c r="J23" s="590"/>
      <c r="K23" s="582"/>
      <c r="L23" s="582"/>
      <c r="M23" s="486">
        <v>64</v>
      </c>
      <c r="N23" s="500">
        <v>1934</v>
      </c>
      <c r="O23" s="624"/>
      <c r="P23" s="497" t="s">
        <v>102</v>
      </c>
      <c r="Q23" s="500">
        <f t="shared" si="4"/>
        <v>780</v>
      </c>
      <c r="R23" s="195">
        <v>1.02</v>
      </c>
      <c r="S23" s="495">
        <v>281</v>
      </c>
      <c r="T23" s="107">
        <f t="shared" si="1"/>
        <v>223563.6</v>
      </c>
      <c r="U23" s="616"/>
      <c r="V23" s="640"/>
      <c r="W23" s="549"/>
      <c r="X23" s="590"/>
      <c r="Y23" s="582"/>
      <c r="Z23" s="582"/>
      <c r="AA23" s="486">
        <v>64</v>
      </c>
      <c r="AB23">
        <v>26</v>
      </c>
      <c r="AD23" s="624"/>
      <c r="AE23" s="497" t="s">
        <v>102</v>
      </c>
      <c r="AF23" s="499">
        <v>64</v>
      </c>
      <c r="AG23" s="2">
        <f t="shared" si="2"/>
        <v>26</v>
      </c>
      <c r="AH23" s="2">
        <f t="shared" si="3"/>
        <v>38</v>
      </c>
      <c r="AM23" s="624"/>
      <c r="AN23" s="505"/>
      <c r="AO23" s="506"/>
      <c r="AP23" s="2"/>
    </row>
    <row r="24" spans="1:42">
      <c r="A24" s="624"/>
      <c r="B24" s="491" t="s">
        <v>114</v>
      </c>
      <c r="C24" s="500">
        <v>810</v>
      </c>
      <c r="D24" s="195">
        <v>1.02</v>
      </c>
      <c r="E24" s="489">
        <v>281</v>
      </c>
      <c r="F24" s="107">
        <f t="shared" si="0"/>
        <v>232162.2</v>
      </c>
      <c r="G24" s="616"/>
      <c r="H24" s="640"/>
      <c r="I24" s="549"/>
      <c r="J24" s="590"/>
      <c r="K24" s="582"/>
      <c r="L24" s="582"/>
      <c r="M24" s="486">
        <v>48</v>
      </c>
      <c r="N24" s="500">
        <v>1440</v>
      </c>
      <c r="O24" s="624"/>
      <c r="P24" s="497" t="s">
        <v>114</v>
      </c>
      <c r="Q24" s="500">
        <f t="shared" si="4"/>
        <v>600</v>
      </c>
      <c r="R24" s="195">
        <v>1.02</v>
      </c>
      <c r="S24" s="495">
        <v>281</v>
      </c>
      <c r="T24" s="107">
        <f t="shared" si="1"/>
        <v>171972</v>
      </c>
      <c r="U24" s="616"/>
      <c r="V24" s="640"/>
      <c r="W24" s="549"/>
      <c r="X24" s="590"/>
      <c r="Y24" s="582"/>
      <c r="Z24" s="582"/>
      <c r="AA24" s="486">
        <v>48</v>
      </c>
      <c r="AB24">
        <v>20</v>
      </c>
      <c r="AD24" s="624"/>
      <c r="AE24" s="497" t="s">
        <v>114</v>
      </c>
      <c r="AF24" s="499">
        <v>48</v>
      </c>
      <c r="AG24" s="2">
        <f t="shared" si="2"/>
        <v>20</v>
      </c>
      <c r="AH24" s="2">
        <f t="shared" si="3"/>
        <v>28</v>
      </c>
      <c r="AM24" s="624"/>
      <c r="AN24" s="505"/>
      <c r="AO24" s="506"/>
      <c r="AP24" s="2"/>
    </row>
    <row r="25" spans="1:42">
      <c r="A25" s="624"/>
      <c r="B25" s="491" t="s">
        <v>100</v>
      </c>
      <c r="C25" s="500">
        <v>548</v>
      </c>
      <c r="D25" s="195">
        <v>1.02</v>
      </c>
      <c r="E25" s="489">
        <v>281</v>
      </c>
      <c r="F25" s="107">
        <f t="shared" si="0"/>
        <v>157067.76</v>
      </c>
      <c r="G25" s="616"/>
      <c r="H25" s="640"/>
      <c r="I25" s="549"/>
      <c r="J25" s="590"/>
      <c r="K25" s="582"/>
      <c r="L25" s="582"/>
      <c r="M25" s="486">
        <v>33</v>
      </c>
      <c r="N25" s="500">
        <v>998</v>
      </c>
      <c r="O25" s="624"/>
      <c r="P25" s="497" t="s">
        <v>100</v>
      </c>
      <c r="Q25" s="500">
        <v>464</v>
      </c>
      <c r="R25" s="195">
        <v>1.02</v>
      </c>
      <c r="S25" s="495">
        <v>281</v>
      </c>
      <c r="T25" s="107">
        <f t="shared" si="1"/>
        <v>132991.68000000002</v>
      </c>
      <c r="U25" s="616"/>
      <c r="V25" s="640"/>
      <c r="W25" s="549"/>
      <c r="X25" s="590"/>
      <c r="Y25" s="582"/>
      <c r="Z25" s="582"/>
      <c r="AA25" s="486">
        <v>33</v>
      </c>
      <c r="AB25">
        <v>15</v>
      </c>
      <c r="AD25" s="624"/>
      <c r="AE25" s="497" t="s">
        <v>100</v>
      </c>
      <c r="AF25" s="499">
        <v>33</v>
      </c>
      <c r="AG25" s="2">
        <f t="shared" si="2"/>
        <v>15</v>
      </c>
      <c r="AH25" s="2">
        <f t="shared" si="3"/>
        <v>18</v>
      </c>
      <c r="AM25" s="624"/>
      <c r="AN25" s="505"/>
      <c r="AO25" s="506"/>
      <c r="AP25" s="2"/>
    </row>
    <row r="26" spans="1:42">
      <c r="A26" s="624"/>
      <c r="B26" s="491" t="s">
        <v>245</v>
      </c>
      <c r="C26" s="500">
        <v>1049</v>
      </c>
      <c r="D26" s="195">
        <v>1.02</v>
      </c>
      <c r="E26" s="489">
        <v>281</v>
      </c>
      <c r="F26" s="107">
        <f t="shared" si="0"/>
        <v>300664.38</v>
      </c>
      <c r="G26" s="616"/>
      <c r="H26" s="640"/>
      <c r="I26" s="541"/>
      <c r="J26" s="590"/>
      <c r="K26" s="582"/>
      <c r="L26" s="582"/>
      <c r="M26" s="486">
        <v>63</v>
      </c>
      <c r="N26" s="500">
        <v>1880</v>
      </c>
      <c r="O26" s="624"/>
      <c r="P26" s="497" t="s">
        <v>245</v>
      </c>
      <c r="Q26" s="500">
        <v>840</v>
      </c>
      <c r="R26" s="195">
        <v>1.02</v>
      </c>
      <c r="S26" s="495">
        <v>281</v>
      </c>
      <c r="T26" s="107">
        <f t="shared" si="1"/>
        <v>240760.80000000002</v>
      </c>
      <c r="U26" s="616"/>
      <c r="V26" s="640"/>
      <c r="W26" s="541"/>
      <c r="X26" s="590"/>
      <c r="Y26" s="582"/>
      <c r="Z26" s="582"/>
      <c r="AA26" s="486">
        <v>63</v>
      </c>
      <c r="AB26">
        <v>28</v>
      </c>
      <c r="AD26" s="624"/>
      <c r="AE26" s="497" t="s">
        <v>245</v>
      </c>
      <c r="AF26" s="499">
        <v>63</v>
      </c>
      <c r="AG26" s="2">
        <f t="shared" si="2"/>
        <v>28</v>
      </c>
      <c r="AH26" s="2">
        <f t="shared" si="3"/>
        <v>35</v>
      </c>
      <c r="AM26" s="624"/>
      <c r="AN26" s="505"/>
      <c r="AO26" s="506"/>
      <c r="AP26" s="2"/>
    </row>
    <row r="27" spans="1:42">
      <c r="A27" s="624" t="s">
        <v>351</v>
      </c>
      <c r="B27" s="491" t="s">
        <v>101</v>
      </c>
      <c r="C27" s="500">
        <v>600</v>
      </c>
      <c r="D27" s="195">
        <v>1.8</v>
      </c>
      <c r="E27" s="489">
        <v>281</v>
      </c>
      <c r="F27" s="107">
        <f t="shared" si="0"/>
        <v>303480</v>
      </c>
      <c r="G27" s="616">
        <v>1513</v>
      </c>
      <c r="H27" s="590">
        <v>3002</v>
      </c>
      <c r="I27" s="540">
        <v>670</v>
      </c>
      <c r="J27" s="590">
        <f>G27/H27*SUM(C27:C30)*I27</f>
        <v>600729.54363757488</v>
      </c>
      <c r="K27" s="582">
        <f>J27+SUM(F27:F30)</f>
        <v>1500547.7436375748</v>
      </c>
      <c r="L27" s="582">
        <f>K27/SUM(C27:C30)</f>
        <v>843.47821452365088</v>
      </c>
      <c r="M27" s="486">
        <v>34</v>
      </c>
      <c r="N27" s="500">
        <v>1020</v>
      </c>
      <c r="O27" s="624" t="s">
        <v>351</v>
      </c>
      <c r="P27" s="497" t="s">
        <v>101</v>
      </c>
      <c r="Q27" s="500">
        <v>420</v>
      </c>
      <c r="R27" s="195">
        <v>1.8</v>
      </c>
      <c r="S27" s="495">
        <v>281</v>
      </c>
      <c r="T27" s="107">
        <f t="shared" si="1"/>
        <v>212436</v>
      </c>
      <c r="U27" s="616">
        <v>1513</v>
      </c>
      <c r="V27" s="590">
        <v>3002</v>
      </c>
      <c r="W27" s="540">
        <v>670</v>
      </c>
      <c r="X27" s="590">
        <f>U27/V27*SUM(Q27:Q30)*W27</f>
        <v>412980.45636242506</v>
      </c>
      <c r="Y27" s="582">
        <f>X27+SUM(T27:T30)</f>
        <v>1031573.856362425</v>
      </c>
      <c r="Z27" s="582">
        <f>Y27/SUM(Q27:Q30)</f>
        <v>843.47821452365088</v>
      </c>
      <c r="AA27" s="486">
        <v>34</v>
      </c>
      <c r="AB27">
        <v>17</v>
      </c>
      <c r="AD27" s="624" t="s">
        <v>351</v>
      </c>
      <c r="AE27" s="497" t="s">
        <v>101</v>
      </c>
      <c r="AF27" s="499">
        <v>34</v>
      </c>
      <c r="AG27" s="2">
        <f t="shared" si="2"/>
        <v>17</v>
      </c>
      <c r="AH27" s="2">
        <f t="shared" si="3"/>
        <v>17</v>
      </c>
      <c r="AM27" s="624"/>
      <c r="AN27" s="505"/>
      <c r="AO27" s="506"/>
      <c r="AP27" s="2"/>
    </row>
    <row r="28" spans="1:42">
      <c r="A28" s="624"/>
      <c r="B28" s="491" t="s">
        <v>327</v>
      </c>
      <c r="C28" s="500">
        <v>581</v>
      </c>
      <c r="D28" s="195">
        <v>1.8</v>
      </c>
      <c r="E28" s="489">
        <v>281</v>
      </c>
      <c r="F28" s="107">
        <f t="shared" si="0"/>
        <v>293869.8</v>
      </c>
      <c r="G28" s="616"/>
      <c r="H28" s="590"/>
      <c r="I28" s="549"/>
      <c r="J28" s="590"/>
      <c r="K28" s="590"/>
      <c r="L28" s="582"/>
      <c r="M28" s="486">
        <v>31</v>
      </c>
      <c r="N28" s="500">
        <v>904</v>
      </c>
      <c r="O28" s="624"/>
      <c r="P28" s="497" t="s">
        <v>327</v>
      </c>
      <c r="Q28" s="500">
        <v>323</v>
      </c>
      <c r="R28" s="195">
        <v>1.8</v>
      </c>
      <c r="S28" s="495">
        <v>281</v>
      </c>
      <c r="T28" s="107">
        <f t="shared" si="1"/>
        <v>163373.4</v>
      </c>
      <c r="U28" s="616"/>
      <c r="V28" s="590"/>
      <c r="W28" s="549"/>
      <c r="X28" s="590"/>
      <c r="Y28" s="590"/>
      <c r="Z28" s="582"/>
      <c r="AA28" s="486">
        <v>31</v>
      </c>
      <c r="AB28">
        <v>15</v>
      </c>
      <c r="AD28" s="624"/>
      <c r="AE28" s="497" t="s">
        <v>327</v>
      </c>
      <c r="AF28" s="499">
        <v>31</v>
      </c>
      <c r="AG28" s="2">
        <f t="shared" si="2"/>
        <v>15</v>
      </c>
      <c r="AH28" s="2">
        <f t="shared" si="3"/>
        <v>16</v>
      </c>
      <c r="AM28" s="624"/>
      <c r="AN28" s="505"/>
      <c r="AO28" s="506"/>
      <c r="AP28" s="2"/>
    </row>
    <row r="29" spans="1:42">
      <c r="A29" s="624"/>
      <c r="B29" s="491" t="s">
        <v>150</v>
      </c>
      <c r="C29" s="500">
        <v>310</v>
      </c>
      <c r="D29" s="195">
        <v>1.8</v>
      </c>
      <c r="E29" s="489">
        <v>281</v>
      </c>
      <c r="F29" s="107">
        <f t="shared" si="0"/>
        <v>156798</v>
      </c>
      <c r="G29" s="616"/>
      <c r="H29" s="590"/>
      <c r="I29" s="549"/>
      <c r="J29" s="590"/>
      <c r="K29" s="590"/>
      <c r="L29" s="582"/>
      <c r="M29" s="486">
        <v>17</v>
      </c>
      <c r="N29" s="500">
        <v>520</v>
      </c>
      <c r="O29" s="624"/>
      <c r="P29" s="497" t="s">
        <v>150</v>
      </c>
      <c r="Q29" s="500">
        <v>210</v>
      </c>
      <c r="R29" s="195">
        <v>1.8</v>
      </c>
      <c r="S29" s="495">
        <v>281</v>
      </c>
      <c r="T29" s="107">
        <f t="shared" si="1"/>
        <v>106218</v>
      </c>
      <c r="U29" s="616"/>
      <c r="V29" s="590"/>
      <c r="W29" s="549"/>
      <c r="X29" s="590"/>
      <c r="Y29" s="590"/>
      <c r="Z29" s="582"/>
      <c r="AA29" s="486">
        <v>17</v>
      </c>
      <c r="AB29">
        <v>8</v>
      </c>
      <c r="AD29" s="624"/>
      <c r="AE29" s="497" t="s">
        <v>150</v>
      </c>
      <c r="AF29" s="499">
        <v>17</v>
      </c>
      <c r="AG29" s="2">
        <f t="shared" si="2"/>
        <v>8</v>
      </c>
      <c r="AH29" s="2">
        <f t="shared" si="3"/>
        <v>9</v>
      </c>
      <c r="AM29" s="624"/>
      <c r="AN29" s="505"/>
      <c r="AO29" s="506"/>
      <c r="AP29" s="2"/>
    </row>
    <row r="30" spans="1:42">
      <c r="A30" s="624"/>
      <c r="B30" s="491" t="s">
        <v>244</v>
      </c>
      <c r="C30" s="500">
        <v>288</v>
      </c>
      <c r="D30" s="195">
        <v>1.8</v>
      </c>
      <c r="E30" s="489">
        <v>281</v>
      </c>
      <c r="F30" s="107">
        <f t="shared" si="0"/>
        <v>145670.39999999999</v>
      </c>
      <c r="G30" s="616"/>
      <c r="H30" s="590"/>
      <c r="I30" s="541"/>
      <c r="J30" s="590"/>
      <c r="K30" s="590"/>
      <c r="L30" s="582"/>
      <c r="M30" s="486">
        <v>19</v>
      </c>
      <c r="N30" s="500">
        <v>558</v>
      </c>
      <c r="O30" s="624"/>
      <c r="P30" s="497" t="s">
        <v>244</v>
      </c>
      <c r="Q30" s="500">
        <v>270</v>
      </c>
      <c r="R30" s="195">
        <v>1.8</v>
      </c>
      <c r="S30" s="495">
        <v>281</v>
      </c>
      <c r="T30" s="107">
        <f t="shared" si="1"/>
        <v>136566</v>
      </c>
      <c r="U30" s="616"/>
      <c r="V30" s="590"/>
      <c r="W30" s="541"/>
      <c r="X30" s="590"/>
      <c r="Y30" s="590"/>
      <c r="Z30" s="582"/>
      <c r="AA30" s="486">
        <v>19</v>
      </c>
      <c r="AB30">
        <v>9</v>
      </c>
      <c r="AD30" s="624"/>
      <c r="AE30" s="497" t="s">
        <v>244</v>
      </c>
      <c r="AF30" s="499">
        <v>19</v>
      </c>
      <c r="AG30" s="2">
        <f t="shared" si="2"/>
        <v>9</v>
      </c>
      <c r="AH30" s="2">
        <f t="shared" si="3"/>
        <v>10</v>
      </c>
      <c r="AM30" s="624"/>
      <c r="AN30" s="505"/>
      <c r="AO30" s="506"/>
      <c r="AP30" s="2"/>
    </row>
    <row r="31" spans="1:42">
      <c r="A31" s="624" t="s">
        <v>388</v>
      </c>
      <c r="B31" s="491" t="s">
        <v>95</v>
      </c>
      <c r="C31" s="500">
        <v>778</v>
      </c>
      <c r="D31" s="195">
        <v>0.68</v>
      </c>
      <c r="E31" s="489">
        <v>281</v>
      </c>
      <c r="F31" s="107">
        <f t="shared" si="0"/>
        <v>148660.24000000002</v>
      </c>
      <c r="G31" s="616">
        <v>1060</v>
      </c>
      <c r="H31" s="590">
        <v>3173</v>
      </c>
      <c r="I31" s="540">
        <v>670</v>
      </c>
      <c r="J31" s="590">
        <f>G31/H31*SUM(C31:C33)*I31</f>
        <v>358345.47746612044</v>
      </c>
      <c r="K31" s="582">
        <f>J31+SUM(F31:F33)</f>
        <v>664264.55746612046</v>
      </c>
      <c r="L31" s="582">
        <f>K31/SUM(C31:C33)</f>
        <v>414.90603214623388</v>
      </c>
      <c r="M31" s="486">
        <v>51</v>
      </c>
      <c r="N31" s="500">
        <v>1539</v>
      </c>
      <c r="O31" s="624" t="s">
        <v>388</v>
      </c>
      <c r="P31" s="497" t="s">
        <v>95</v>
      </c>
      <c r="Q31" s="500">
        <v>761</v>
      </c>
      <c r="R31" s="195">
        <v>0.68</v>
      </c>
      <c r="S31" s="495">
        <v>281</v>
      </c>
      <c r="T31" s="107">
        <f t="shared" si="1"/>
        <v>145411.88</v>
      </c>
      <c r="U31" s="616">
        <v>1060</v>
      </c>
      <c r="V31" s="590">
        <v>3173</v>
      </c>
      <c r="W31" s="540">
        <v>670</v>
      </c>
      <c r="X31" s="590">
        <f>U31/V31*SUM(Q31:Q33)*W31</f>
        <v>351630.69650173339</v>
      </c>
      <c r="Y31" s="582">
        <f>X31+SUM(T31:T33)</f>
        <v>651817.37650173344</v>
      </c>
      <c r="Z31" s="582">
        <f>Y31/SUM(Q31:Q33)</f>
        <v>414.90603214623388</v>
      </c>
      <c r="AA31" s="486">
        <v>51</v>
      </c>
      <c r="AB31">
        <v>25</v>
      </c>
      <c r="AD31" s="624" t="s">
        <v>388</v>
      </c>
      <c r="AE31" s="497" t="s">
        <v>95</v>
      </c>
      <c r="AF31" s="499">
        <v>51</v>
      </c>
      <c r="AG31" s="2">
        <f t="shared" si="2"/>
        <v>25</v>
      </c>
      <c r="AH31" s="2">
        <f t="shared" si="3"/>
        <v>26</v>
      </c>
      <c r="AM31" s="624"/>
      <c r="AN31" s="505"/>
      <c r="AO31" s="506"/>
      <c r="AP31" s="2"/>
    </row>
    <row r="32" spans="1:42">
      <c r="A32" s="624"/>
      <c r="B32" s="491" t="s">
        <v>96</v>
      </c>
      <c r="C32" s="500">
        <v>403</v>
      </c>
      <c r="D32" s="195">
        <v>0.68</v>
      </c>
      <c r="E32" s="489">
        <v>281</v>
      </c>
      <c r="F32" s="107">
        <f t="shared" si="0"/>
        <v>77005.240000000005</v>
      </c>
      <c r="G32" s="616"/>
      <c r="H32" s="590"/>
      <c r="I32" s="549"/>
      <c r="J32" s="590"/>
      <c r="K32" s="590"/>
      <c r="L32" s="582"/>
      <c r="M32" s="486">
        <v>27</v>
      </c>
      <c r="N32" s="500">
        <v>794</v>
      </c>
      <c r="O32" s="624"/>
      <c r="P32" s="497" t="s">
        <v>96</v>
      </c>
      <c r="Q32" s="500">
        <f t="shared" si="4"/>
        <v>390</v>
      </c>
      <c r="R32" s="195">
        <v>0.68</v>
      </c>
      <c r="S32" s="495">
        <v>281</v>
      </c>
      <c r="T32" s="107">
        <f t="shared" si="1"/>
        <v>74521.200000000012</v>
      </c>
      <c r="U32" s="616"/>
      <c r="V32" s="590"/>
      <c r="W32" s="549"/>
      <c r="X32" s="590"/>
      <c r="Y32" s="590"/>
      <c r="Z32" s="582"/>
      <c r="AA32" s="486">
        <v>27</v>
      </c>
      <c r="AB32">
        <v>13</v>
      </c>
      <c r="AD32" s="624"/>
      <c r="AE32" s="497" t="s">
        <v>96</v>
      </c>
      <c r="AF32" s="499">
        <v>27</v>
      </c>
      <c r="AG32" s="2">
        <f t="shared" si="2"/>
        <v>13</v>
      </c>
      <c r="AH32" s="2">
        <f t="shared" si="3"/>
        <v>14</v>
      </c>
      <c r="AM32" s="624"/>
      <c r="AN32" s="505"/>
      <c r="AO32" s="506"/>
      <c r="AP32" s="2"/>
    </row>
    <row r="33" spans="1:42">
      <c r="A33" s="624"/>
      <c r="B33" s="491" t="s">
        <v>272</v>
      </c>
      <c r="C33" s="500">
        <f t="shared" ref="C33:C50" si="5">N33-Q33</f>
        <v>420</v>
      </c>
      <c r="D33" s="195">
        <v>0.68</v>
      </c>
      <c r="E33" s="489">
        <v>281</v>
      </c>
      <c r="F33" s="107">
        <f t="shared" si="0"/>
        <v>80253.600000000006</v>
      </c>
      <c r="G33" s="616"/>
      <c r="H33" s="590"/>
      <c r="I33" s="541"/>
      <c r="J33" s="590"/>
      <c r="K33" s="590"/>
      <c r="L33" s="582"/>
      <c r="M33" s="486">
        <v>28</v>
      </c>
      <c r="N33" s="500">
        <v>840</v>
      </c>
      <c r="O33" s="624"/>
      <c r="P33" s="497" t="s">
        <v>272</v>
      </c>
      <c r="Q33" s="500">
        <f t="shared" si="4"/>
        <v>420</v>
      </c>
      <c r="R33" s="195">
        <v>0.68</v>
      </c>
      <c r="S33" s="495">
        <v>281</v>
      </c>
      <c r="T33" s="107">
        <f t="shared" si="1"/>
        <v>80253.600000000006</v>
      </c>
      <c r="U33" s="616"/>
      <c r="V33" s="590"/>
      <c r="W33" s="541"/>
      <c r="X33" s="590"/>
      <c r="Y33" s="590"/>
      <c r="Z33" s="582"/>
      <c r="AA33" s="486">
        <v>28</v>
      </c>
      <c r="AB33">
        <v>14</v>
      </c>
      <c r="AD33" s="624"/>
      <c r="AE33" s="497" t="s">
        <v>272</v>
      </c>
      <c r="AF33" s="499">
        <v>28</v>
      </c>
      <c r="AG33" s="2">
        <f t="shared" si="2"/>
        <v>14</v>
      </c>
      <c r="AH33" s="2">
        <f t="shared" si="3"/>
        <v>14</v>
      </c>
      <c r="AM33" s="624"/>
      <c r="AN33" s="505"/>
      <c r="AO33" s="506"/>
      <c r="AP33" s="2"/>
    </row>
    <row r="34" spans="1:42">
      <c r="A34" s="491" t="s">
        <v>389</v>
      </c>
      <c r="B34" s="491" t="s">
        <v>270</v>
      </c>
      <c r="C34" s="500">
        <f t="shared" si="5"/>
        <v>1004</v>
      </c>
      <c r="D34" s="195">
        <v>0.89</v>
      </c>
      <c r="E34" s="489">
        <v>281</v>
      </c>
      <c r="F34" s="107">
        <f t="shared" si="0"/>
        <v>251090.36000000002</v>
      </c>
      <c r="G34" s="490">
        <v>310</v>
      </c>
      <c r="H34" s="489">
        <v>1004</v>
      </c>
      <c r="I34" s="489">
        <v>670</v>
      </c>
      <c r="J34" s="489">
        <f>G34/H34*SUM(C34:C34)*I34</f>
        <v>207700</v>
      </c>
      <c r="K34" s="488">
        <f>J34+SUM(F34:F34)</f>
        <v>458790.36</v>
      </c>
      <c r="L34" s="488">
        <f>K34/SUM(C34:C34)</f>
        <v>456.96250996015937</v>
      </c>
      <c r="M34" s="486">
        <v>34</v>
      </c>
      <c r="N34" s="500">
        <v>1004</v>
      </c>
      <c r="O34" s="497" t="s">
        <v>389</v>
      </c>
      <c r="P34" s="497" t="s">
        <v>270</v>
      </c>
      <c r="Q34" s="497">
        <v>0</v>
      </c>
      <c r="R34" s="195">
        <v>0.89</v>
      </c>
      <c r="S34" s="495">
        <v>281</v>
      </c>
      <c r="T34" s="107">
        <f t="shared" si="1"/>
        <v>0</v>
      </c>
      <c r="U34" s="496">
        <v>310</v>
      </c>
      <c r="V34" s="495">
        <v>1004</v>
      </c>
      <c r="W34" s="495">
        <v>670</v>
      </c>
      <c r="X34" s="495">
        <f>U34/V34*SUM(Q34:Q34)*W34</f>
        <v>0</v>
      </c>
      <c r="Y34" s="494">
        <f>X34+SUM(T34:T34)</f>
        <v>0</v>
      </c>
      <c r="Z34" s="494" t="e">
        <f>Y34/SUM(Q34:Q34)</f>
        <v>#DIV/0!</v>
      </c>
      <c r="AA34" s="486">
        <v>34</v>
      </c>
      <c r="AB34">
        <f t="shared" ref="AB34" si="6">Q34/30</f>
        <v>0</v>
      </c>
      <c r="AD34" s="497" t="s">
        <v>389</v>
      </c>
      <c r="AE34" s="497" t="s">
        <v>270</v>
      </c>
      <c r="AF34" s="499">
        <v>34</v>
      </c>
      <c r="AG34" s="2">
        <f t="shared" si="2"/>
        <v>0</v>
      </c>
      <c r="AH34" s="2">
        <f t="shared" si="3"/>
        <v>34</v>
      </c>
      <c r="AM34" s="505"/>
      <c r="AN34" s="505"/>
      <c r="AO34" s="506"/>
      <c r="AP34" s="2"/>
    </row>
    <row r="35" spans="1:42">
      <c r="A35" s="640" t="s">
        <v>352</v>
      </c>
      <c r="B35" s="487" t="s">
        <v>379</v>
      </c>
      <c r="C35" s="500">
        <f t="shared" si="5"/>
        <v>19194</v>
      </c>
      <c r="D35" s="201">
        <v>0.27</v>
      </c>
      <c r="E35" s="489">
        <v>281</v>
      </c>
      <c r="F35" s="107">
        <f t="shared" si="0"/>
        <v>1456248.78</v>
      </c>
      <c r="G35" s="616">
        <v>1038</v>
      </c>
      <c r="H35" s="590">
        <v>61956</v>
      </c>
      <c r="I35" s="540">
        <v>350</v>
      </c>
      <c r="J35" s="590">
        <f>G35/H35*SUM(C35:C50)*I35</f>
        <v>363300</v>
      </c>
      <c r="K35" s="582">
        <f>J35+SUM(F35:F50)</f>
        <v>4957059.9000000013</v>
      </c>
      <c r="L35" s="582">
        <f>K35/SUM(C35:C50)</f>
        <v>80.009359868293643</v>
      </c>
      <c r="M35" s="486">
        <v>14</v>
      </c>
      <c r="N35" s="501">
        <v>19194</v>
      </c>
      <c r="O35" s="640" t="s">
        <v>352</v>
      </c>
      <c r="P35" s="487" t="s">
        <v>379</v>
      </c>
      <c r="Q35" s="497">
        <v>0</v>
      </c>
      <c r="R35" s="201">
        <v>0.27</v>
      </c>
      <c r="S35" s="495">
        <v>281</v>
      </c>
      <c r="T35" s="107">
        <f t="shared" si="1"/>
        <v>0</v>
      </c>
      <c r="U35" s="616">
        <v>1038</v>
      </c>
      <c r="V35" s="590">
        <v>61956</v>
      </c>
      <c r="W35" s="540">
        <v>0</v>
      </c>
      <c r="X35" s="590">
        <f>U35/V35*SUM(Q35:Q50)*W35</f>
        <v>0</v>
      </c>
      <c r="Y35" s="582">
        <f>X35+SUM(T35:T50)</f>
        <v>0</v>
      </c>
      <c r="Z35" s="582" t="e">
        <f>Y35/SUM(Q35:Q50)</f>
        <v>#DIV/0!</v>
      </c>
      <c r="AA35" s="486">
        <v>14</v>
      </c>
      <c r="AD35" s="640" t="s">
        <v>352</v>
      </c>
      <c r="AE35" s="487" t="s">
        <v>379</v>
      </c>
      <c r="AF35" s="499">
        <v>14</v>
      </c>
      <c r="AG35" s="2">
        <f t="shared" si="2"/>
        <v>0</v>
      </c>
      <c r="AH35" s="2">
        <f t="shared" si="3"/>
        <v>14</v>
      </c>
      <c r="AM35" s="640"/>
      <c r="AN35" s="487"/>
      <c r="AO35" s="506"/>
      <c r="AP35" s="2"/>
    </row>
    <row r="36" spans="1:42">
      <c r="A36" s="640"/>
      <c r="B36" s="487" t="s">
        <v>380</v>
      </c>
      <c r="C36" s="500">
        <f t="shared" si="5"/>
        <v>9597</v>
      </c>
      <c r="D36" s="201">
        <v>0.25</v>
      </c>
      <c r="E36" s="489">
        <v>281</v>
      </c>
      <c r="F36" s="107">
        <f t="shared" si="0"/>
        <v>674189.25</v>
      </c>
      <c r="G36" s="616"/>
      <c r="H36" s="590"/>
      <c r="I36" s="549"/>
      <c r="J36" s="590"/>
      <c r="K36" s="590"/>
      <c r="L36" s="582"/>
      <c r="M36" s="486">
        <v>7</v>
      </c>
      <c r="N36" s="501">
        <v>9597</v>
      </c>
      <c r="O36" s="640"/>
      <c r="P36" s="487" t="s">
        <v>380</v>
      </c>
      <c r="Q36" s="505">
        <v>0</v>
      </c>
      <c r="R36" s="201">
        <v>0.25</v>
      </c>
      <c r="S36" s="495">
        <v>281</v>
      </c>
      <c r="T36" s="107">
        <f t="shared" si="1"/>
        <v>0</v>
      </c>
      <c r="U36" s="616"/>
      <c r="V36" s="590"/>
      <c r="W36" s="549"/>
      <c r="X36" s="590"/>
      <c r="Y36" s="590"/>
      <c r="Z36" s="582"/>
      <c r="AA36" s="486">
        <v>7</v>
      </c>
      <c r="AD36" s="640"/>
      <c r="AE36" s="487" t="s">
        <v>380</v>
      </c>
      <c r="AF36" s="499">
        <v>7</v>
      </c>
      <c r="AG36" s="2">
        <f t="shared" si="2"/>
        <v>0</v>
      </c>
      <c r="AH36" s="2">
        <f t="shared" si="3"/>
        <v>7</v>
      </c>
      <c r="AM36" s="640"/>
      <c r="AN36" s="487"/>
      <c r="AO36" s="506"/>
      <c r="AP36" s="2"/>
    </row>
    <row r="37" spans="1:42">
      <c r="A37" s="640"/>
      <c r="B37" s="487" t="s">
        <v>393</v>
      </c>
      <c r="C37" s="500">
        <f t="shared" si="5"/>
        <v>6855</v>
      </c>
      <c r="D37" s="201">
        <v>0.27</v>
      </c>
      <c r="E37" s="489">
        <v>281</v>
      </c>
      <c r="F37" s="107">
        <f t="shared" si="0"/>
        <v>520088.85000000003</v>
      </c>
      <c r="G37" s="616"/>
      <c r="H37" s="590"/>
      <c r="I37" s="549"/>
      <c r="J37" s="590"/>
      <c r="K37" s="590"/>
      <c r="L37" s="582"/>
      <c r="M37" s="486">
        <v>5</v>
      </c>
      <c r="N37" s="501">
        <v>6855</v>
      </c>
      <c r="O37" s="640"/>
      <c r="P37" s="487" t="s">
        <v>393</v>
      </c>
      <c r="Q37" s="505">
        <v>0</v>
      </c>
      <c r="R37" s="201">
        <v>0.27</v>
      </c>
      <c r="S37" s="495">
        <v>281</v>
      </c>
      <c r="T37" s="107">
        <f t="shared" si="1"/>
        <v>0</v>
      </c>
      <c r="U37" s="616"/>
      <c r="V37" s="590"/>
      <c r="W37" s="549"/>
      <c r="X37" s="590"/>
      <c r="Y37" s="590"/>
      <c r="Z37" s="582"/>
      <c r="AA37" s="486">
        <v>5</v>
      </c>
      <c r="AD37" s="640"/>
      <c r="AE37" s="487" t="s">
        <v>393</v>
      </c>
      <c r="AF37" s="499">
        <v>5</v>
      </c>
      <c r="AG37" s="2">
        <f t="shared" si="2"/>
        <v>0</v>
      </c>
      <c r="AH37" s="2">
        <f t="shared" si="3"/>
        <v>5</v>
      </c>
      <c r="AM37" s="640"/>
      <c r="AN37" s="487"/>
      <c r="AO37" s="506"/>
      <c r="AP37" s="2"/>
    </row>
    <row r="38" spans="1:42">
      <c r="A38" s="640"/>
      <c r="B38" s="487" t="s">
        <v>370</v>
      </c>
      <c r="C38" s="500">
        <f t="shared" si="5"/>
        <v>4113</v>
      </c>
      <c r="D38" s="201">
        <v>0.27</v>
      </c>
      <c r="E38" s="489">
        <v>281</v>
      </c>
      <c r="F38" s="107">
        <f t="shared" si="0"/>
        <v>312053.31</v>
      </c>
      <c r="G38" s="616"/>
      <c r="H38" s="590"/>
      <c r="I38" s="549"/>
      <c r="J38" s="590"/>
      <c r="K38" s="590"/>
      <c r="L38" s="582"/>
      <c r="M38" s="486">
        <v>3</v>
      </c>
      <c r="N38" s="501">
        <v>4113</v>
      </c>
      <c r="O38" s="640"/>
      <c r="P38" s="487" t="s">
        <v>370</v>
      </c>
      <c r="Q38" s="505">
        <v>0</v>
      </c>
      <c r="R38" s="201">
        <v>0.27</v>
      </c>
      <c r="S38" s="495">
        <v>281</v>
      </c>
      <c r="T38" s="107">
        <f t="shared" si="1"/>
        <v>0</v>
      </c>
      <c r="U38" s="616"/>
      <c r="V38" s="590"/>
      <c r="W38" s="549"/>
      <c r="X38" s="590"/>
      <c r="Y38" s="590"/>
      <c r="Z38" s="582"/>
      <c r="AA38" s="486">
        <v>3</v>
      </c>
      <c r="AD38" s="640"/>
      <c r="AE38" s="487" t="s">
        <v>370</v>
      </c>
      <c r="AF38" s="499">
        <v>3</v>
      </c>
      <c r="AG38" s="2">
        <f t="shared" si="2"/>
        <v>0</v>
      </c>
      <c r="AH38" s="2">
        <f t="shared" si="3"/>
        <v>3</v>
      </c>
      <c r="AM38" s="640"/>
      <c r="AN38" s="487"/>
      <c r="AO38" s="506"/>
      <c r="AP38" s="2"/>
    </row>
    <row r="39" spans="1:42">
      <c r="A39" s="640"/>
      <c r="B39" s="487" t="s">
        <v>372</v>
      </c>
      <c r="C39" s="500">
        <f t="shared" si="5"/>
        <v>5484</v>
      </c>
      <c r="D39" s="201">
        <v>0.27</v>
      </c>
      <c r="E39" s="489">
        <v>281</v>
      </c>
      <c r="F39" s="107">
        <f t="shared" si="0"/>
        <v>416071.08</v>
      </c>
      <c r="G39" s="616"/>
      <c r="H39" s="590"/>
      <c r="I39" s="549"/>
      <c r="J39" s="590"/>
      <c r="K39" s="590"/>
      <c r="L39" s="582"/>
      <c r="M39" s="486">
        <v>4</v>
      </c>
      <c r="N39" s="501">
        <v>5484</v>
      </c>
      <c r="O39" s="640"/>
      <c r="P39" s="487" t="s">
        <v>372</v>
      </c>
      <c r="Q39" s="505">
        <v>0</v>
      </c>
      <c r="R39" s="201">
        <v>0.27</v>
      </c>
      <c r="S39" s="495">
        <v>281</v>
      </c>
      <c r="T39" s="107">
        <f t="shared" si="1"/>
        <v>0</v>
      </c>
      <c r="U39" s="616"/>
      <c r="V39" s="590"/>
      <c r="W39" s="549"/>
      <c r="X39" s="590"/>
      <c r="Y39" s="590"/>
      <c r="Z39" s="582"/>
      <c r="AA39" s="486">
        <v>4</v>
      </c>
      <c r="AD39" s="640"/>
      <c r="AE39" s="487" t="s">
        <v>372</v>
      </c>
      <c r="AF39" s="499">
        <v>4</v>
      </c>
      <c r="AG39" s="2">
        <f t="shared" si="2"/>
        <v>0</v>
      </c>
      <c r="AH39" s="2">
        <f t="shared" si="3"/>
        <v>4</v>
      </c>
      <c r="AM39" s="640"/>
      <c r="AN39" s="487"/>
      <c r="AO39" s="506"/>
      <c r="AP39" s="2"/>
    </row>
    <row r="40" spans="1:42">
      <c r="A40" s="640"/>
      <c r="B40" s="487" t="s">
        <v>394</v>
      </c>
      <c r="C40" s="500">
        <f t="shared" si="5"/>
        <v>2742</v>
      </c>
      <c r="D40" s="201">
        <v>0.25</v>
      </c>
      <c r="E40" s="489">
        <v>281</v>
      </c>
      <c r="F40" s="107">
        <f t="shared" si="0"/>
        <v>192625.5</v>
      </c>
      <c r="G40" s="616"/>
      <c r="H40" s="590"/>
      <c r="I40" s="549"/>
      <c r="J40" s="590"/>
      <c r="K40" s="590"/>
      <c r="L40" s="582"/>
      <c r="M40" s="486">
        <v>2</v>
      </c>
      <c r="N40" s="501">
        <v>2742</v>
      </c>
      <c r="O40" s="640"/>
      <c r="P40" s="487" t="s">
        <v>394</v>
      </c>
      <c r="Q40" s="505">
        <v>0</v>
      </c>
      <c r="R40" s="201">
        <v>0.25</v>
      </c>
      <c r="S40" s="495">
        <v>281</v>
      </c>
      <c r="T40" s="107">
        <f t="shared" si="1"/>
        <v>0</v>
      </c>
      <c r="U40" s="616"/>
      <c r="V40" s="590"/>
      <c r="W40" s="549"/>
      <c r="X40" s="590"/>
      <c r="Y40" s="590"/>
      <c r="Z40" s="582"/>
      <c r="AA40" s="486">
        <v>2</v>
      </c>
      <c r="AD40" s="640"/>
      <c r="AE40" s="487" t="s">
        <v>394</v>
      </c>
      <c r="AF40" s="499">
        <v>2</v>
      </c>
      <c r="AG40" s="2">
        <f t="shared" si="2"/>
        <v>0</v>
      </c>
      <c r="AH40" s="2">
        <f t="shared" si="3"/>
        <v>2</v>
      </c>
      <c r="AM40" s="640"/>
      <c r="AN40" s="487"/>
      <c r="AO40" s="506"/>
      <c r="AP40" s="2"/>
    </row>
    <row r="41" spans="1:42">
      <c r="A41" s="640"/>
      <c r="B41" s="487" t="s">
        <v>354</v>
      </c>
      <c r="C41" s="500">
        <f t="shared" si="5"/>
        <v>4113</v>
      </c>
      <c r="D41" s="201">
        <v>0.25</v>
      </c>
      <c r="E41" s="489">
        <v>281</v>
      </c>
      <c r="F41" s="107">
        <f t="shared" si="0"/>
        <v>288938.25</v>
      </c>
      <c r="G41" s="616"/>
      <c r="H41" s="590"/>
      <c r="I41" s="549"/>
      <c r="J41" s="590"/>
      <c r="K41" s="590"/>
      <c r="L41" s="582"/>
      <c r="M41" s="486">
        <v>3</v>
      </c>
      <c r="N41" s="501">
        <v>4113</v>
      </c>
      <c r="O41" s="640"/>
      <c r="P41" s="487" t="s">
        <v>354</v>
      </c>
      <c r="Q41" s="505">
        <v>0</v>
      </c>
      <c r="R41" s="201">
        <v>0.25</v>
      </c>
      <c r="S41" s="495">
        <v>281</v>
      </c>
      <c r="T41" s="107">
        <f t="shared" si="1"/>
        <v>0</v>
      </c>
      <c r="U41" s="616"/>
      <c r="V41" s="590"/>
      <c r="W41" s="549"/>
      <c r="X41" s="590"/>
      <c r="Y41" s="590"/>
      <c r="Z41" s="582"/>
      <c r="AA41" s="486">
        <v>3</v>
      </c>
      <c r="AD41" s="640"/>
      <c r="AE41" s="487" t="s">
        <v>354</v>
      </c>
      <c r="AF41" s="499">
        <v>3</v>
      </c>
      <c r="AG41" s="2">
        <f t="shared" si="2"/>
        <v>0</v>
      </c>
      <c r="AH41" s="2">
        <f t="shared" si="3"/>
        <v>3</v>
      </c>
      <c r="AM41" s="640"/>
      <c r="AN41" s="487"/>
      <c r="AO41" s="506"/>
      <c r="AP41" s="2"/>
    </row>
    <row r="42" spans="1:42">
      <c r="A42" s="640"/>
      <c r="B42" s="487" t="s">
        <v>395</v>
      </c>
      <c r="C42" s="500">
        <f t="shared" si="5"/>
        <v>4113</v>
      </c>
      <c r="D42" s="201">
        <v>0.27</v>
      </c>
      <c r="E42" s="489">
        <v>281</v>
      </c>
      <c r="F42" s="107">
        <f t="shared" si="0"/>
        <v>312053.31</v>
      </c>
      <c r="G42" s="616"/>
      <c r="H42" s="590"/>
      <c r="I42" s="549"/>
      <c r="J42" s="590"/>
      <c r="K42" s="590"/>
      <c r="L42" s="582"/>
      <c r="M42" s="486">
        <v>3</v>
      </c>
      <c r="N42" s="500">
        <v>4113</v>
      </c>
      <c r="O42" s="640"/>
      <c r="P42" s="487" t="s">
        <v>395</v>
      </c>
      <c r="Q42" s="505">
        <v>0</v>
      </c>
      <c r="R42" s="201">
        <v>0.27</v>
      </c>
      <c r="S42" s="495">
        <v>281</v>
      </c>
      <c r="T42" s="107">
        <f t="shared" si="1"/>
        <v>0</v>
      </c>
      <c r="U42" s="616"/>
      <c r="V42" s="590"/>
      <c r="W42" s="549"/>
      <c r="X42" s="590"/>
      <c r="Y42" s="590"/>
      <c r="Z42" s="582"/>
      <c r="AA42" s="486">
        <v>3</v>
      </c>
      <c r="AD42" s="640"/>
      <c r="AE42" s="487" t="s">
        <v>395</v>
      </c>
      <c r="AF42" s="499">
        <v>3</v>
      </c>
      <c r="AG42" s="2">
        <f t="shared" si="2"/>
        <v>0</v>
      </c>
      <c r="AH42" s="2">
        <f t="shared" si="3"/>
        <v>3</v>
      </c>
      <c r="AM42" s="640"/>
      <c r="AN42" s="487"/>
      <c r="AO42" s="506"/>
      <c r="AP42" s="2"/>
    </row>
    <row r="43" spans="1:42">
      <c r="A43" s="640"/>
      <c r="B43" s="487" t="s">
        <v>379</v>
      </c>
      <c r="C43" s="500">
        <f t="shared" si="5"/>
        <v>823</v>
      </c>
      <c r="D43" s="201">
        <v>0.27</v>
      </c>
      <c r="E43" s="489">
        <v>281</v>
      </c>
      <c r="F43" s="107">
        <f t="shared" si="0"/>
        <v>62441.01</v>
      </c>
      <c r="G43" s="616"/>
      <c r="H43" s="590"/>
      <c r="I43" s="549"/>
      <c r="J43" s="590"/>
      <c r="K43" s="590"/>
      <c r="L43" s="582"/>
      <c r="M43" s="486">
        <v>1</v>
      </c>
      <c r="N43" s="501">
        <v>823</v>
      </c>
      <c r="O43" s="640"/>
      <c r="P43" s="487" t="s">
        <v>379</v>
      </c>
      <c r="Q43" s="505">
        <v>0</v>
      </c>
      <c r="R43" s="201">
        <v>0.27</v>
      </c>
      <c r="S43" s="495">
        <v>281</v>
      </c>
      <c r="T43" s="107">
        <f t="shared" si="1"/>
        <v>0</v>
      </c>
      <c r="U43" s="616"/>
      <c r="V43" s="590"/>
      <c r="W43" s="549"/>
      <c r="X43" s="590"/>
      <c r="Y43" s="590"/>
      <c r="Z43" s="582"/>
      <c r="AA43" s="486">
        <v>1</v>
      </c>
      <c r="AD43" s="640"/>
      <c r="AE43" s="487" t="s">
        <v>379</v>
      </c>
      <c r="AF43" s="499">
        <v>1</v>
      </c>
      <c r="AG43" s="2">
        <f t="shared" si="2"/>
        <v>0</v>
      </c>
      <c r="AH43" s="2">
        <f t="shared" si="3"/>
        <v>1</v>
      </c>
      <c r="AM43" s="640"/>
      <c r="AN43" s="487"/>
      <c r="AO43" s="506"/>
      <c r="AP43" s="2"/>
    </row>
    <row r="44" spans="1:42">
      <c r="A44" s="640"/>
      <c r="B44" s="487" t="s">
        <v>380</v>
      </c>
      <c r="C44" s="500">
        <f t="shared" si="5"/>
        <v>411</v>
      </c>
      <c r="D44" s="201">
        <v>0.25</v>
      </c>
      <c r="E44" s="489">
        <v>281</v>
      </c>
      <c r="F44" s="107">
        <f t="shared" si="0"/>
        <v>28872.75</v>
      </c>
      <c r="G44" s="616"/>
      <c r="H44" s="590"/>
      <c r="I44" s="549"/>
      <c r="J44" s="590"/>
      <c r="K44" s="590"/>
      <c r="L44" s="582"/>
      <c r="M44" s="486"/>
      <c r="N44" s="501">
        <v>411</v>
      </c>
      <c r="O44" s="640"/>
      <c r="P44" s="487" t="s">
        <v>380</v>
      </c>
      <c r="Q44" s="505">
        <v>0</v>
      </c>
      <c r="R44" s="201">
        <v>0.25</v>
      </c>
      <c r="S44" s="495">
        <v>281</v>
      </c>
      <c r="T44" s="107">
        <f t="shared" si="1"/>
        <v>0</v>
      </c>
      <c r="U44" s="616"/>
      <c r="V44" s="590"/>
      <c r="W44" s="549"/>
      <c r="X44" s="590"/>
      <c r="Y44" s="590"/>
      <c r="Z44" s="582"/>
      <c r="AA44" s="486"/>
      <c r="AD44" s="640"/>
      <c r="AE44" s="487" t="s">
        <v>380</v>
      </c>
      <c r="AF44" s="499"/>
      <c r="AG44" s="2">
        <f t="shared" si="2"/>
        <v>0</v>
      </c>
      <c r="AH44" s="2">
        <f t="shared" si="3"/>
        <v>0</v>
      </c>
      <c r="AM44" s="640"/>
      <c r="AN44" s="487"/>
      <c r="AO44" s="506"/>
      <c r="AP44" s="2"/>
    </row>
    <row r="45" spans="1:42">
      <c r="A45" s="640"/>
      <c r="B45" s="487" t="s">
        <v>393</v>
      </c>
      <c r="C45" s="500">
        <f t="shared" si="5"/>
        <v>137</v>
      </c>
      <c r="D45" s="201">
        <v>0.27</v>
      </c>
      <c r="E45" s="489">
        <v>281</v>
      </c>
      <c r="F45" s="107">
        <f t="shared" si="0"/>
        <v>10394.19</v>
      </c>
      <c r="G45" s="616"/>
      <c r="H45" s="590"/>
      <c r="I45" s="549"/>
      <c r="J45" s="590"/>
      <c r="K45" s="590"/>
      <c r="L45" s="582"/>
      <c r="M45" s="486">
        <v>1</v>
      </c>
      <c r="N45" s="501">
        <v>137</v>
      </c>
      <c r="O45" s="640"/>
      <c r="P45" s="487" t="s">
        <v>393</v>
      </c>
      <c r="Q45" s="505">
        <v>0</v>
      </c>
      <c r="R45" s="201">
        <v>0.27</v>
      </c>
      <c r="S45" s="495">
        <v>281</v>
      </c>
      <c r="T45" s="107">
        <f t="shared" si="1"/>
        <v>0</v>
      </c>
      <c r="U45" s="616"/>
      <c r="V45" s="590"/>
      <c r="W45" s="549"/>
      <c r="X45" s="590"/>
      <c r="Y45" s="590"/>
      <c r="Z45" s="582"/>
      <c r="AA45" s="486">
        <v>1</v>
      </c>
      <c r="AD45" s="640"/>
      <c r="AE45" s="487" t="s">
        <v>393</v>
      </c>
      <c r="AF45" s="499">
        <v>1</v>
      </c>
      <c r="AG45" s="2">
        <f t="shared" si="2"/>
        <v>0</v>
      </c>
      <c r="AH45" s="2">
        <f t="shared" si="3"/>
        <v>1</v>
      </c>
      <c r="AM45" s="640"/>
      <c r="AN45" s="487"/>
      <c r="AO45" s="506"/>
      <c r="AP45" s="2"/>
    </row>
    <row r="46" spans="1:42">
      <c r="A46" s="640"/>
      <c r="B46" s="487" t="s">
        <v>370</v>
      </c>
      <c r="C46" s="500">
        <f t="shared" si="5"/>
        <v>855</v>
      </c>
      <c r="D46" s="201">
        <v>0.27</v>
      </c>
      <c r="E46" s="489">
        <v>281</v>
      </c>
      <c r="F46" s="107">
        <f t="shared" si="0"/>
        <v>64868.850000000006</v>
      </c>
      <c r="G46" s="616"/>
      <c r="H46" s="590"/>
      <c r="I46" s="549"/>
      <c r="J46" s="590"/>
      <c r="K46" s="590"/>
      <c r="L46" s="582"/>
      <c r="M46" s="486"/>
      <c r="N46" s="501">
        <v>855</v>
      </c>
      <c r="O46" s="640"/>
      <c r="P46" s="487" t="s">
        <v>370</v>
      </c>
      <c r="Q46" s="505">
        <v>0</v>
      </c>
      <c r="R46" s="201">
        <v>0.27</v>
      </c>
      <c r="S46" s="495">
        <v>281</v>
      </c>
      <c r="T46" s="107">
        <f t="shared" si="1"/>
        <v>0</v>
      </c>
      <c r="U46" s="616"/>
      <c r="V46" s="590"/>
      <c r="W46" s="549"/>
      <c r="X46" s="590"/>
      <c r="Y46" s="590"/>
      <c r="Z46" s="582"/>
      <c r="AA46" s="486"/>
      <c r="AD46" s="640"/>
      <c r="AE46" s="487" t="s">
        <v>370</v>
      </c>
      <c r="AF46" s="499"/>
      <c r="AG46" s="2">
        <f t="shared" si="2"/>
        <v>0</v>
      </c>
      <c r="AH46" s="2">
        <f t="shared" si="3"/>
        <v>0</v>
      </c>
      <c r="AM46" s="640"/>
      <c r="AN46" s="487"/>
      <c r="AO46" s="506"/>
      <c r="AP46" s="2"/>
    </row>
    <row r="47" spans="1:42">
      <c r="A47" s="640"/>
      <c r="B47" s="487" t="s">
        <v>372</v>
      </c>
      <c r="C47" s="500">
        <f t="shared" si="5"/>
        <v>503</v>
      </c>
      <c r="D47" s="201">
        <v>0.27</v>
      </c>
      <c r="E47" s="489">
        <v>281</v>
      </c>
      <c r="F47" s="107">
        <f t="shared" si="0"/>
        <v>38162.61</v>
      </c>
      <c r="G47" s="616"/>
      <c r="H47" s="590"/>
      <c r="I47" s="549"/>
      <c r="J47" s="590"/>
      <c r="K47" s="590"/>
      <c r="L47" s="582"/>
      <c r="M47" s="486">
        <v>1</v>
      </c>
      <c r="N47" s="501">
        <v>503</v>
      </c>
      <c r="O47" s="640"/>
      <c r="P47" s="487" t="s">
        <v>372</v>
      </c>
      <c r="Q47" s="505">
        <v>0</v>
      </c>
      <c r="R47" s="201">
        <v>0.27</v>
      </c>
      <c r="S47" s="495">
        <v>281</v>
      </c>
      <c r="T47" s="107">
        <f t="shared" si="1"/>
        <v>0</v>
      </c>
      <c r="U47" s="616"/>
      <c r="V47" s="590"/>
      <c r="W47" s="549"/>
      <c r="X47" s="590"/>
      <c r="Y47" s="590"/>
      <c r="Z47" s="582"/>
      <c r="AA47" s="486">
        <v>1</v>
      </c>
      <c r="AD47" s="640"/>
      <c r="AE47" s="487" t="s">
        <v>372</v>
      </c>
      <c r="AF47" s="499">
        <v>1</v>
      </c>
      <c r="AG47" s="2">
        <f t="shared" si="2"/>
        <v>0</v>
      </c>
      <c r="AH47" s="2">
        <f t="shared" si="3"/>
        <v>1</v>
      </c>
      <c r="AM47" s="640"/>
      <c r="AN47" s="487"/>
      <c r="AO47" s="506"/>
      <c r="AP47" s="2"/>
    </row>
    <row r="48" spans="1:42">
      <c r="A48" s="640"/>
      <c r="B48" s="487" t="s">
        <v>354</v>
      </c>
      <c r="C48" s="500">
        <f t="shared" si="5"/>
        <v>868</v>
      </c>
      <c r="D48" s="201">
        <v>0.25</v>
      </c>
      <c r="E48" s="489">
        <v>281</v>
      </c>
      <c r="F48" s="107">
        <f t="shared" si="0"/>
        <v>60977</v>
      </c>
      <c r="G48" s="616"/>
      <c r="H48" s="590"/>
      <c r="I48" s="549"/>
      <c r="J48" s="590"/>
      <c r="K48" s="590"/>
      <c r="L48" s="582"/>
      <c r="M48" s="486"/>
      <c r="N48" s="501">
        <v>868</v>
      </c>
      <c r="O48" s="640"/>
      <c r="P48" s="487" t="s">
        <v>354</v>
      </c>
      <c r="Q48" s="505">
        <v>0</v>
      </c>
      <c r="R48" s="201">
        <v>0.25</v>
      </c>
      <c r="S48" s="495">
        <v>281</v>
      </c>
      <c r="T48" s="107">
        <f t="shared" si="1"/>
        <v>0</v>
      </c>
      <c r="U48" s="616"/>
      <c r="V48" s="590"/>
      <c r="W48" s="549"/>
      <c r="X48" s="590"/>
      <c r="Y48" s="590"/>
      <c r="Z48" s="582"/>
      <c r="AA48" s="486"/>
      <c r="AD48" s="640"/>
      <c r="AE48" s="487" t="s">
        <v>354</v>
      </c>
      <c r="AF48" s="499"/>
      <c r="AG48" s="2">
        <f t="shared" si="2"/>
        <v>0</v>
      </c>
      <c r="AH48" s="2">
        <f t="shared" si="3"/>
        <v>0</v>
      </c>
      <c r="AM48" s="640"/>
      <c r="AN48" s="487"/>
      <c r="AO48" s="506"/>
      <c r="AP48" s="2"/>
    </row>
    <row r="49" spans="1:42">
      <c r="A49" s="640"/>
      <c r="B49" s="487" t="s">
        <v>394</v>
      </c>
      <c r="C49" s="500">
        <f t="shared" si="5"/>
        <v>1280</v>
      </c>
      <c r="D49" s="201">
        <v>0.25</v>
      </c>
      <c r="E49" s="489">
        <v>281</v>
      </c>
      <c r="F49" s="107">
        <f t="shared" si="0"/>
        <v>89920</v>
      </c>
      <c r="G49" s="616"/>
      <c r="H49" s="590"/>
      <c r="I49" s="549"/>
      <c r="J49" s="590"/>
      <c r="K49" s="590"/>
      <c r="L49" s="582"/>
      <c r="M49" s="486">
        <v>1</v>
      </c>
      <c r="N49" s="501">
        <v>1280</v>
      </c>
      <c r="O49" s="640"/>
      <c r="P49" s="487" t="s">
        <v>394</v>
      </c>
      <c r="Q49" s="505">
        <v>0</v>
      </c>
      <c r="R49" s="201">
        <v>0.25</v>
      </c>
      <c r="S49" s="495">
        <v>281</v>
      </c>
      <c r="T49" s="107">
        <f t="shared" si="1"/>
        <v>0</v>
      </c>
      <c r="U49" s="616"/>
      <c r="V49" s="590"/>
      <c r="W49" s="549"/>
      <c r="X49" s="590"/>
      <c r="Y49" s="590"/>
      <c r="Z49" s="582"/>
      <c r="AA49" s="486">
        <v>1</v>
      </c>
      <c r="AD49" s="640"/>
      <c r="AE49" s="487" t="s">
        <v>394</v>
      </c>
      <c r="AF49" s="499">
        <v>1</v>
      </c>
      <c r="AG49" s="2">
        <f t="shared" si="2"/>
        <v>0</v>
      </c>
      <c r="AH49" s="2">
        <f t="shared" si="3"/>
        <v>1</v>
      </c>
      <c r="AM49" s="640"/>
      <c r="AN49" s="487"/>
      <c r="AO49" s="506"/>
      <c r="AP49" s="2"/>
    </row>
    <row r="50" spans="1:42">
      <c r="A50" s="640"/>
      <c r="B50" s="487" t="s">
        <v>395</v>
      </c>
      <c r="C50" s="500">
        <f t="shared" si="5"/>
        <v>868</v>
      </c>
      <c r="D50" s="201">
        <v>0.27</v>
      </c>
      <c r="E50" s="489">
        <v>281</v>
      </c>
      <c r="F50" s="107">
        <f t="shared" si="0"/>
        <v>65855.16</v>
      </c>
      <c r="G50" s="616"/>
      <c r="H50" s="590"/>
      <c r="I50" s="541"/>
      <c r="J50" s="590"/>
      <c r="K50" s="590"/>
      <c r="L50" s="582"/>
      <c r="M50" s="486">
        <v>1</v>
      </c>
      <c r="N50" s="500">
        <v>868</v>
      </c>
      <c r="O50" s="640"/>
      <c r="P50" s="487" t="s">
        <v>395</v>
      </c>
      <c r="Q50" s="505">
        <v>0</v>
      </c>
      <c r="R50" s="201">
        <v>0.27</v>
      </c>
      <c r="S50" s="495">
        <v>281</v>
      </c>
      <c r="T50" s="107">
        <f t="shared" si="1"/>
        <v>0</v>
      </c>
      <c r="U50" s="616"/>
      <c r="V50" s="590"/>
      <c r="W50" s="541"/>
      <c r="X50" s="590"/>
      <c r="Y50" s="590"/>
      <c r="Z50" s="582"/>
      <c r="AA50" s="486">
        <v>1</v>
      </c>
      <c r="AD50" s="640"/>
      <c r="AE50" s="487" t="s">
        <v>395</v>
      </c>
      <c r="AF50" s="499">
        <v>1</v>
      </c>
      <c r="AG50" s="2">
        <f t="shared" si="2"/>
        <v>0</v>
      </c>
      <c r="AH50" s="2">
        <f t="shared" si="3"/>
        <v>1</v>
      </c>
      <c r="AM50" s="640"/>
      <c r="AN50" s="487"/>
      <c r="AO50" s="506"/>
      <c r="AP50" s="2"/>
    </row>
    <row r="51" spans="1:42" ht="15.75">
      <c r="A51" s="489"/>
      <c r="B51" s="489"/>
      <c r="C51" s="489">
        <f>SUM(C3:C50)</f>
        <v>83713</v>
      </c>
      <c r="D51" s="489"/>
      <c r="E51" s="489"/>
      <c r="F51" s="488">
        <f>SUM(F3:F26)</f>
        <v>4924291.7699999996</v>
      </c>
      <c r="G51" s="489">
        <f>SUM(G3:G50)</f>
        <v>19979</v>
      </c>
      <c r="H51" s="187">
        <f>SUM(H3:H50)</f>
        <v>101010</v>
      </c>
      <c r="I51" s="489"/>
      <c r="J51" s="489">
        <f>SUM(J3:J50)</f>
        <v>7390686.195473074</v>
      </c>
      <c r="K51" s="488">
        <f>SUM(K3:K50)</f>
        <v>18365565.505473077</v>
      </c>
      <c r="L51" s="489"/>
      <c r="M51" s="82"/>
      <c r="O51" s="495"/>
      <c r="P51" s="495"/>
      <c r="Q51" s="495">
        <f>SUM(Q3:Q50)</f>
        <v>17154</v>
      </c>
      <c r="R51" s="495"/>
      <c r="S51" s="495"/>
      <c r="T51" s="494">
        <f>SUM(T3:T26)</f>
        <v>4084160.7800000007</v>
      </c>
      <c r="U51" s="495">
        <f>SUM(U3:U50)</f>
        <v>19979</v>
      </c>
      <c r="V51" s="187">
        <f>SUM(V3:V50)</f>
        <v>101010</v>
      </c>
      <c r="W51" s="495"/>
      <c r="X51" s="495">
        <f>SUM(X3:X50)</f>
        <v>5611546.9841331029</v>
      </c>
      <c r="Y51" s="494">
        <f>SUM(Y3:Y50)</f>
        <v>10614487.844133101</v>
      </c>
      <c r="Z51" s="495"/>
      <c r="AA51" s="82">
        <f>SUM(AA3:AA50)</f>
        <v>1348</v>
      </c>
      <c r="AB51">
        <f>SUM(AB3:AB50)</f>
        <v>574</v>
      </c>
      <c r="AD51" s="495" t="s">
        <v>149</v>
      </c>
      <c r="AE51" s="495"/>
      <c r="AF51" s="495">
        <f>SUM(AF3:AF50)</f>
        <v>1348</v>
      </c>
      <c r="AG51" s="2">
        <f>SUM(AG3:AG50)</f>
        <v>574</v>
      </c>
      <c r="AH51" s="2">
        <f>SUM(AH3:AH50)</f>
        <v>774</v>
      </c>
      <c r="AM51" s="504"/>
      <c r="AN51" s="504"/>
      <c r="AO51" s="504"/>
      <c r="AP51" s="2"/>
    </row>
    <row r="52" spans="1:42">
      <c r="A52" s="489"/>
      <c r="B52" s="489"/>
      <c r="C52" s="489"/>
      <c r="D52" s="489"/>
      <c r="E52" s="489"/>
      <c r="F52" s="590" t="s">
        <v>233</v>
      </c>
      <c r="G52" s="590"/>
      <c r="H52" s="488">
        <f>K51+K52</f>
        <v>18549221.160527807</v>
      </c>
      <c r="I52" s="590" t="s">
        <v>232</v>
      </c>
      <c r="J52" s="590"/>
      <c r="K52" s="489">
        <f>K51*1%</f>
        <v>183655.65505473077</v>
      </c>
      <c r="L52" s="489"/>
      <c r="M52" s="82"/>
      <c r="O52" s="495"/>
      <c r="P52" s="495"/>
      <c r="Q52" s="495"/>
      <c r="R52" s="495"/>
      <c r="S52" s="495"/>
      <c r="T52" s="590" t="s">
        <v>233</v>
      </c>
      <c r="U52" s="590"/>
      <c r="V52" s="494">
        <f>Y51+Y52</f>
        <v>10720632.722574433</v>
      </c>
      <c r="W52" s="590" t="s">
        <v>232</v>
      </c>
      <c r="X52" s="590"/>
      <c r="Y52" s="495">
        <f>Y51*1%</f>
        <v>106144.87844133102</v>
      </c>
      <c r="Z52" s="495"/>
      <c r="AA52" s="82"/>
      <c r="AD52" s="495"/>
      <c r="AE52" s="495"/>
      <c r="AF52" s="495"/>
      <c r="AG52" s="2"/>
      <c r="AH52" s="2"/>
      <c r="AM52" s="504"/>
      <c r="AN52" s="504"/>
      <c r="AO52" s="504"/>
      <c r="AP52" s="2"/>
    </row>
  </sheetData>
  <mergeCells count="136">
    <mergeCell ref="F52:G52"/>
    <mergeCell ref="I52:J52"/>
    <mergeCell ref="L31:L33"/>
    <mergeCell ref="A35:A50"/>
    <mergeCell ref="G35:G50"/>
    <mergeCell ref="H35:H50"/>
    <mergeCell ref="I35:I50"/>
    <mergeCell ref="J35:J50"/>
    <mergeCell ref="K35:K50"/>
    <mergeCell ref="L35:L50"/>
    <mergeCell ref="A31:A33"/>
    <mergeCell ref="G31:G33"/>
    <mergeCell ref="H31:H33"/>
    <mergeCell ref="I31:I33"/>
    <mergeCell ref="J31:J33"/>
    <mergeCell ref="K31:K33"/>
    <mergeCell ref="L20:L26"/>
    <mergeCell ref="A27:A30"/>
    <mergeCell ref="G27:G30"/>
    <mergeCell ref="H27:H30"/>
    <mergeCell ref="I27:I30"/>
    <mergeCell ref="J27:J30"/>
    <mergeCell ref="K27:K30"/>
    <mergeCell ref="L27:L30"/>
    <mergeCell ref="A20:A26"/>
    <mergeCell ref="G20:G26"/>
    <mergeCell ref="H20:H26"/>
    <mergeCell ref="I20:I26"/>
    <mergeCell ref="J20:J26"/>
    <mergeCell ref="K20:K26"/>
    <mergeCell ref="L11:L14"/>
    <mergeCell ref="A15:A19"/>
    <mergeCell ref="G15:G19"/>
    <mergeCell ref="H15:H19"/>
    <mergeCell ref="I15:I19"/>
    <mergeCell ref="J15:J19"/>
    <mergeCell ref="K15:K19"/>
    <mergeCell ref="L15:L19"/>
    <mergeCell ref="A11:A14"/>
    <mergeCell ref="G11:G14"/>
    <mergeCell ref="H11:H14"/>
    <mergeCell ref="I11:I14"/>
    <mergeCell ref="J11:J14"/>
    <mergeCell ref="K11:K14"/>
    <mergeCell ref="A1:J1"/>
    <mergeCell ref="A4:A5"/>
    <mergeCell ref="G4:G5"/>
    <mergeCell ref="H4:H5"/>
    <mergeCell ref="I4:I5"/>
    <mergeCell ref="J4:J5"/>
    <mergeCell ref="K4:K5"/>
    <mergeCell ref="L4:L5"/>
    <mergeCell ref="A6:A10"/>
    <mergeCell ref="G6:G10"/>
    <mergeCell ref="H6:H10"/>
    <mergeCell ref="I6:I10"/>
    <mergeCell ref="J6:J10"/>
    <mergeCell ref="K6:K10"/>
    <mergeCell ref="L6:L10"/>
    <mergeCell ref="O6:O10"/>
    <mergeCell ref="U6:U10"/>
    <mergeCell ref="V6:V10"/>
    <mergeCell ref="W6:W10"/>
    <mergeCell ref="X6:X10"/>
    <mergeCell ref="Y6:Y10"/>
    <mergeCell ref="Z6:Z10"/>
    <mergeCell ref="O1:X1"/>
    <mergeCell ref="O4:O5"/>
    <mergeCell ref="U4:U5"/>
    <mergeCell ref="V4:V5"/>
    <mergeCell ref="W4:W5"/>
    <mergeCell ref="X4:X5"/>
    <mergeCell ref="O15:O19"/>
    <mergeCell ref="U15:U19"/>
    <mergeCell ref="V15:V19"/>
    <mergeCell ref="W15:W19"/>
    <mergeCell ref="X15:X19"/>
    <mergeCell ref="Y15:Y19"/>
    <mergeCell ref="Z15:Z19"/>
    <mergeCell ref="O11:O14"/>
    <mergeCell ref="U11:U14"/>
    <mergeCell ref="V11:V14"/>
    <mergeCell ref="W11:W14"/>
    <mergeCell ref="X11:X14"/>
    <mergeCell ref="O27:O30"/>
    <mergeCell ref="U27:U30"/>
    <mergeCell ref="V27:V30"/>
    <mergeCell ref="W27:W30"/>
    <mergeCell ref="X27:X30"/>
    <mergeCell ref="Y27:Y30"/>
    <mergeCell ref="Z27:Z30"/>
    <mergeCell ref="O20:O26"/>
    <mergeCell ref="U20:U26"/>
    <mergeCell ref="V20:V26"/>
    <mergeCell ref="W20:W26"/>
    <mergeCell ref="X20:X26"/>
    <mergeCell ref="O35:O50"/>
    <mergeCell ref="U35:U50"/>
    <mergeCell ref="V35:V50"/>
    <mergeCell ref="W35:W50"/>
    <mergeCell ref="X35:X50"/>
    <mergeCell ref="Y35:Y50"/>
    <mergeCell ref="Z35:Z50"/>
    <mergeCell ref="O31:O33"/>
    <mergeCell ref="U31:U33"/>
    <mergeCell ref="V31:V33"/>
    <mergeCell ref="W31:W33"/>
    <mergeCell ref="X31:X33"/>
    <mergeCell ref="AD1:AG1"/>
    <mergeCell ref="T52:U52"/>
    <mergeCell ref="W52:X52"/>
    <mergeCell ref="AD4:AD5"/>
    <mergeCell ref="AD6:AD10"/>
    <mergeCell ref="AD11:AD14"/>
    <mergeCell ref="AD15:AD19"/>
    <mergeCell ref="AD20:AD26"/>
    <mergeCell ref="AD27:AD30"/>
    <mergeCell ref="AD31:AD33"/>
    <mergeCell ref="AD35:AD50"/>
    <mergeCell ref="Y31:Y33"/>
    <mergeCell ref="Z31:Z33"/>
    <mergeCell ref="Y20:Y26"/>
    <mergeCell ref="Z20:Z26"/>
    <mergeCell ref="Y11:Y14"/>
    <mergeCell ref="Z11:Z14"/>
    <mergeCell ref="Y4:Y5"/>
    <mergeCell ref="Z4:Z5"/>
    <mergeCell ref="AM1:AP1"/>
    <mergeCell ref="AM4:AM5"/>
    <mergeCell ref="AM6:AM10"/>
    <mergeCell ref="AM11:AM14"/>
    <mergeCell ref="AM15:AM19"/>
    <mergeCell ref="AM20:AM26"/>
    <mergeCell ref="AM27:AM30"/>
    <mergeCell ref="AM31:AM33"/>
    <mergeCell ref="AM35:AM50"/>
  </mergeCells>
  <pageMargins left="0.23" right="0.14000000000000001" top="0.16" bottom="0.59" header="0.16" footer="0.7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N7" sqref="N7"/>
    </sheetView>
  </sheetViews>
  <sheetFormatPr defaultRowHeight="15"/>
  <cols>
    <col min="11" max="11" width="14.85546875" customWidth="1"/>
    <col min="25" max="25" width="13.28515625" customWidth="1"/>
  </cols>
  <sheetData>
    <row r="1" spans="1:19" ht="28.5">
      <c r="A1" s="605" t="s">
        <v>406</v>
      </c>
      <c r="B1" s="605"/>
      <c r="C1" s="605"/>
      <c r="D1" s="605"/>
      <c r="E1" s="605"/>
      <c r="F1" s="605"/>
      <c r="G1" s="605"/>
      <c r="H1" s="605"/>
      <c r="I1" s="605"/>
      <c r="J1" s="605"/>
      <c r="K1" s="456">
        <v>45421</v>
      </c>
      <c r="L1" s="88" t="s">
        <v>385</v>
      </c>
      <c r="P1" s="715" t="s">
        <v>407</v>
      </c>
      <c r="Q1" s="715"/>
      <c r="R1" s="715"/>
      <c r="S1" s="715"/>
    </row>
    <row r="2" spans="1:19" ht="31.5">
      <c r="A2" s="100" t="s">
        <v>0</v>
      </c>
      <c r="B2" s="100" t="s">
        <v>140</v>
      </c>
      <c r="C2" s="103" t="s">
        <v>411</v>
      </c>
      <c r="D2" s="101" t="s">
        <v>2</v>
      </c>
      <c r="E2" s="101" t="s">
        <v>399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412</v>
      </c>
      <c r="M2" s="105" t="s">
        <v>384</v>
      </c>
      <c r="N2" s="105" t="s">
        <v>405</v>
      </c>
      <c r="P2" s="105" t="s">
        <v>402</v>
      </c>
      <c r="Q2" s="105" t="s">
        <v>408</v>
      </c>
      <c r="R2" s="105" t="s">
        <v>409</v>
      </c>
      <c r="S2" s="105" t="s">
        <v>410</v>
      </c>
    </row>
    <row r="3" spans="1:19" ht="15" customHeight="1">
      <c r="A3" s="714"/>
      <c r="B3" s="497"/>
      <c r="C3" s="497"/>
      <c r="D3" s="195">
        <v>1.03</v>
      </c>
      <c r="E3" s="495">
        <v>281</v>
      </c>
      <c r="F3" s="107">
        <f>C3*D3*E3</f>
        <v>0</v>
      </c>
      <c r="G3" s="511">
        <v>0</v>
      </c>
      <c r="H3" s="513">
        <f>SUM(N3:N3)</f>
        <v>0</v>
      </c>
      <c r="I3" s="509">
        <v>0</v>
      </c>
      <c r="J3" s="98" t="e">
        <f>G3/H3*SUM(C3:C3)*I3</f>
        <v>#DIV/0!</v>
      </c>
      <c r="K3" s="97" t="e">
        <f>J3+SUM(F3:F3)</f>
        <v>#DIV/0!</v>
      </c>
      <c r="L3" s="97" t="e">
        <f>K3/SUM(C3:C3)</f>
        <v>#DIV/0!</v>
      </c>
      <c r="M3" s="255"/>
      <c r="N3" s="513">
        <f>SUM(M3*30)</f>
        <v>0</v>
      </c>
      <c r="P3" s="82">
        <v>0</v>
      </c>
      <c r="Q3" s="82">
        <v>0</v>
      </c>
      <c r="R3" s="82">
        <f>ABS(M3-P3)</f>
        <v>0</v>
      </c>
      <c r="S3" s="82">
        <f>ABS(Q3-N3)</f>
        <v>0</v>
      </c>
    </row>
    <row r="4" spans="1:19" ht="15.75">
      <c r="A4" s="495" t="s">
        <v>4</v>
      </c>
      <c r="B4" s="497"/>
      <c r="C4" s="497"/>
      <c r="D4" s="195"/>
      <c r="E4" s="495"/>
      <c r="F4" s="494">
        <f>SUM(F3:F3)</f>
        <v>0</v>
      </c>
      <c r="G4" s="495">
        <f>SUM(G3:G3)</f>
        <v>0</v>
      </c>
      <c r="H4" s="445">
        <f>SUM(H3:H3)</f>
        <v>0</v>
      </c>
      <c r="I4" s="495"/>
      <c r="J4" s="495" t="e">
        <f>SUM(J3:J3)</f>
        <v>#DIV/0!</v>
      </c>
      <c r="K4" s="494" t="e">
        <f>SUM(K3:K3)</f>
        <v>#DIV/0!</v>
      </c>
      <c r="L4" s="495"/>
      <c r="M4" s="340">
        <f>SUM(M3:M3)</f>
        <v>0</v>
      </c>
      <c r="N4" s="495">
        <f>SUM(N3:N3)</f>
        <v>0</v>
      </c>
      <c r="P4" s="82">
        <f>SUM(P3)</f>
        <v>0</v>
      </c>
      <c r="Q4" s="82">
        <f>SUM(Q3)</f>
        <v>0</v>
      </c>
      <c r="R4" s="82">
        <f>SUM(R3)</f>
        <v>0</v>
      </c>
      <c r="S4" s="82">
        <f>SUM(S3)</f>
        <v>0</v>
      </c>
    </row>
    <row r="5" spans="1:19">
      <c r="F5" s="558" t="s">
        <v>233</v>
      </c>
      <c r="G5" s="558"/>
      <c r="H5" s="27" t="e">
        <f>K4+K5</f>
        <v>#DIV/0!</v>
      </c>
      <c r="I5" s="558" t="s">
        <v>232</v>
      </c>
      <c r="J5" s="558"/>
      <c r="K5" s="2" t="e">
        <f>K4*1%</f>
        <v>#DIV/0!</v>
      </c>
      <c r="L5" s="1"/>
    </row>
    <row r="6" spans="1:19" ht="15" customHeight="1"/>
  </sheetData>
  <mergeCells count="4">
    <mergeCell ref="A1:J1"/>
    <mergeCell ref="P1:S1"/>
    <mergeCell ref="F5:G5"/>
    <mergeCell ref="I5:J5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showFormulas="1" workbookViewId="0">
      <selection sqref="A1:J1"/>
    </sheetView>
  </sheetViews>
  <sheetFormatPr defaultRowHeight="15"/>
  <cols>
    <col min="11" max="11" width="13.42578125" customWidth="1"/>
    <col min="25" max="25" width="13.28515625" customWidth="1"/>
  </cols>
  <sheetData>
    <row r="1" spans="1:35" ht="28.5">
      <c r="A1" s="605" t="s">
        <v>336</v>
      </c>
      <c r="B1" s="581"/>
      <c r="C1" s="581"/>
      <c r="D1" s="581"/>
      <c r="E1" s="581"/>
      <c r="F1" s="581"/>
      <c r="G1" s="581"/>
      <c r="H1" s="581"/>
      <c r="I1" s="581"/>
      <c r="J1" s="680"/>
      <c r="K1" s="456">
        <v>45421</v>
      </c>
      <c r="L1" s="88" t="s">
        <v>385</v>
      </c>
      <c r="O1" s="605" t="s">
        <v>350</v>
      </c>
      <c r="P1" s="605"/>
      <c r="Q1" s="605"/>
      <c r="R1" s="605"/>
      <c r="S1" s="605"/>
      <c r="T1" s="605"/>
      <c r="U1" s="605"/>
      <c r="V1" s="605"/>
      <c r="W1" s="605"/>
      <c r="X1" s="605"/>
      <c r="Y1" s="456">
        <v>45421</v>
      </c>
      <c r="Z1" s="88" t="s">
        <v>385</v>
      </c>
      <c r="AA1" s="1"/>
      <c r="AE1" s="700" t="s">
        <v>286</v>
      </c>
      <c r="AF1" s="700"/>
      <c r="AG1" s="700"/>
      <c r="AH1" s="700"/>
      <c r="AI1" s="456">
        <v>45425</v>
      </c>
    </row>
    <row r="2" spans="1:35" ht="31.5">
      <c r="A2" s="100" t="s">
        <v>0</v>
      </c>
      <c r="B2" s="100" t="s">
        <v>140</v>
      </c>
      <c r="C2" s="101" t="s">
        <v>130</v>
      </c>
      <c r="D2" s="101" t="s">
        <v>2</v>
      </c>
      <c r="E2" s="101" t="s">
        <v>399</v>
      </c>
      <c r="F2" s="102" t="s">
        <v>4</v>
      </c>
      <c r="G2" s="103" t="s">
        <v>5</v>
      </c>
      <c r="H2" s="103" t="s">
        <v>6</v>
      </c>
      <c r="I2" s="103" t="s">
        <v>7</v>
      </c>
      <c r="J2" s="101" t="s">
        <v>8</v>
      </c>
      <c r="K2" s="104" t="s">
        <v>9</v>
      </c>
      <c r="L2" s="103" t="s">
        <v>10</v>
      </c>
      <c r="M2" s="105" t="s">
        <v>384</v>
      </c>
      <c r="O2" s="100" t="s">
        <v>0</v>
      </c>
      <c r="P2" s="100" t="s">
        <v>140</v>
      </c>
      <c r="Q2" s="101" t="s">
        <v>130</v>
      </c>
      <c r="R2" s="101" t="s">
        <v>2</v>
      </c>
      <c r="S2" s="101" t="s">
        <v>3</v>
      </c>
      <c r="T2" s="102" t="s">
        <v>4</v>
      </c>
      <c r="U2" s="103" t="s">
        <v>5</v>
      </c>
      <c r="V2" s="103" t="s">
        <v>6</v>
      </c>
      <c r="W2" s="103" t="s">
        <v>7</v>
      </c>
      <c r="X2" s="101" t="s">
        <v>8</v>
      </c>
      <c r="Y2" s="104" t="s">
        <v>9</v>
      </c>
      <c r="Z2" s="103" t="s">
        <v>10</v>
      </c>
      <c r="AA2" s="105" t="s">
        <v>384</v>
      </c>
      <c r="AB2" s="507" t="s">
        <v>250</v>
      </c>
      <c r="AE2" s="100" t="s">
        <v>0</v>
      </c>
      <c r="AF2" s="100" t="s">
        <v>140</v>
      </c>
      <c r="AG2" s="105" t="s">
        <v>384</v>
      </c>
      <c r="AH2" s="509" t="s">
        <v>250</v>
      </c>
      <c r="AI2" s="509" t="s">
        <v>251</v>
      </c>
    </row>
    <row r="3" spans="1:35">
      <c r="A3" s="676" t="s">
        <v>342</v>
      </c>
      <c r="B3" s="511" t="s">
        <v>101</v>
      </c>
      <c r="C3" s="511">
        <v>1566</v>
      </c>
      <c r="D3" s="195">
        <v>1.03</v>
      </c>
      <c r="E3" s="509">
        <v>281</v>
      </c>
      <c r="F3" s="107">
        <f>C3*D3*E3</f>
        <v>453247.38</v>
      </c>
      <c r="G3" s="667">
        <v>986</v>
      </c>
      <c r="H3" s="676">
        <f>SUM(N3:N4)</f>
        <v>3058</v>
      </c>
      <c r="I3" s="540">
        <v>670</v>
      </c>
      <c r="J3" s="540">
        <f>G3/H3*SUM(C3:C4)*I3</f>
        <v>733638.16873773711</v>
      </c>
      <c r="K3" s="598">
        <f>J3+SUM(F3:F4)</f>
        <v>1752538.5487377374</v>
      </c>
      <c r="L3" s="598">
        <f>K3/SUM(C3:C4)</f>
        <v>516.05964332677775</v>
      </c>
      <c r="M3" s="255">
        <v>40</v>
      </c>
      <c r="N3" s="417">
        <v>1200</v>
      </c>
      <c r="O3" s="708" t="s">
        <v>342</v>
      </c>
      <c r="P3" s="513" t="s">
        <v>150</v>
      </c>
      <c r="Q3" s="513">
        <v>0</v>
      </c>
      <c r="R3" s="335">
        <v>0.95</v>
      </c>
      <c r="S3" s="509">
        <v>281</v>
      </c>
      <c r="T3" s="107">
        <f>Q3*R3*S3</f>
        <v>0</v>
      </c>
      <c r="U3" s="624">
        <v>986</v>
      </c>
      <c r="V3" s="675">
        <v>3058</v>
      </c>
      <c r="W3" s="590">
        <v>0</v>
      </c>
      <c r="X3" s="590">
        <v>0</v>
      </c>
      <c r="Y3" s="582">
        <f>X3+SUM(T3:T4)</f>
        <v>0</v>
      </c>
      <c r="Z3" s="582">
        <v>0</v>
      </c>
      <c r="AA3" s="255">
        <v>40</v>
      </c>
      <c r="AB3" s="507">
        <v>0</v>
      </c>
      <c r="AE3" s="701" t="s">
        <v>342</v>
      </c>
      <c r="AF3" s="457" t="s">
        <v>150</v>
      </c>
      <c r="AG3" s="458">
        <v>40</v>
      </c>
      <c r="AH3" s="462">
        <f t="shared" ref="AH3:AH27" si="0">Q3/30</f>
        <v>0</v>
      </c>
      <c r="AI3" s="463">
        <f>AG3-AH3</f>
        <v>40</v>
      </c>
    </row>
    <row r="4" spans="1:35">
      <c r="A4" s="678"/>
      <c r="B4" s="511" t="s">
        <v>101</v>
      </c>
      <c r="C4" s="511">
        <v>1830</v>
      </c>
      <c r="D4" s="195">
        <v>1.1000000000000001</v>
      </c>
      <c r="E4" s="509">
        <v>281</v>
      </c>
      <c r="F4" s="107">
        <f t="shared" ref="F4:F26" si="1">C4*D4*E4</f>
        <v>565653.00000000012</v>
      </c>
      <c r="G4" s="669"/>
      <c r="H4" s="678"/>
      <c r="I4" s="541"/>
      <c r="J4" s="541"/>
      <c r="K4" s="599"/>
      <c r="L4" s="599"/>
      <c r="M4" s="255">
        <v>62</v>
      </c>
      <c r="N4" s="417">
        <v>1858</v>
      </c>
      <c r="O4" s="708"/>
      <c r="P4" s="513" t="s">
        <v>298</v>
      </c>
      <c r="Q4" s="513">
        <v>0</v>
      </c>
      <c r="R4" s="335">
        <v>0.95</v>
      </c>
      <c r="S4" s="509">
        <v>281</v>
      </c>
      <c r="T4" s="107">
        <f t="shared" ref="T4:T26" si="2">Q4*R4*S4</f>
        <v>0</v>
      </c>
      <c r="U4" s="624"/>
      <c r="V4" s="675"/>
      <c r="W4" s="590"/>
      <c r="X4" s="590"/>
      <c r="Y4" s="582"/>
      <c r="Z4" s="582"/>
      <c r="AA4" s="255">
        <v>62</v>
      </c>
      <c r="AB4" s="507">
        <v>0</v>
      </c>
      <c r="AE4" s="702"/>
      <c r="AF4" s="457" t="s">
        <v>298</v>
      </c>
      <c r="AG4" s="458">
        <v>62</v>
      </c>
      <c r="AH4" s="462">
        <f t="shared" si="0"/>
        <v>0</v>
      </c>
      <c r="AI4" s="463">
        <f t="shared" ref="AI4:AI27" si="3">AG4-AH4</f>
        <v>62</v>
      </c>
    </row>
    <row r="5" spans="1:35">
      <c r="A5" s="511" t="s">
        <v>383</v>
      </c>
      <c r="B5" s="511" t="s">
        <v>245</v>
      </c>
      <c r="C5" s="511">
        <v>1749</v>
      </c>
      <c r="D5" s="195">
        <v>1.1000000000000001</v>
      </c>
      <c r="E5" s="509">
        <v>281</v>
      </c>
      <c r="F5" s="107">
        <f t="shared" si="1"/>
        <v>540615.9</v>
      </c>
      <c r="G5" s="511">
        <v>448</v>
      </c>
      <c r="H5" s="513">
        <v>960</v>
      </c>
      <c r="I5" s="509">
        <v>670</v>
      </c>
      <c r="J5" s="509">
        <f>G5/H5*SUM(C5:C5)*I5</f>
        <v>546854</v>
      </c>
      <c r="K5" s="508">
        <f>J5+SUM(F5:F5)</f>
        <v>1087469.8999999999</v>
      </c>
      <c r="L5" s="508">
        <f>K5/SUM(C5:C5)</f>
        <v>621.76666666666665</v>
      </c>
      <c r="M5" s="255">
        <v>32</v>
      </c>
      <c r="N5" s="417">
        <v>960</v>
      </c>
      <c r="O5" s="511" t="s">
        <v>383</v>
      </c>
      <c r="P5" s="513" t="s">
        <v>101</v>
      </c>
      <c r="Q5" s="513">
        <v>756</v>
      </c>
      <c r="R5" s="335">
        <v>1.03</v>
      </c>
      <c r="S5" s="509">
        <v>281</v>
      </c>
      <c r="T5" s="107">
        <f t="shared" si="2"/>
        <v>218809.08000000002</v>
      </c>
      <c r="U5" s="511">
        <v>448</v>
      </c>
      <c r="V5" s="513">
        <v>960</v>
      </c>
      <c r="W5" s="509">
        <v>670</v>
      </c>
      <c r="X5" s="509">
        <f>U5/V5*SUM(Q5:Q5)*W5</f>
        <v>236376</v>
      </c>
      <c r="Y5" s="508">
        <f>X5+SUM(T5:T5)</f>
        <v>455185.08</v>
      </c>
      <c r="Z5" s="508">
        <f>Y5/SUM(Q5:Q5)</f>
        <v>602.09666666666669</v>
      </c>
      <c r="AA5" s="255">
        <v>32</v>
      </c>
      <c r="AB5" s="507">
        <v>16</v>
      </c>
      <c r="AE5" s="457" t="s">
        <v>383</v>
      </c>
      <c r="AF5" s="457" t="s">
        <v>101</v>
      </c>
      <c r="AG5" s="458">
        <v>32</v>
      </c>
      <c r="AH5" s="462">
        <f t="shared" si="0"/>
        <v>25.2</v>
      </c>
      <c r="AI5" s="463">
        <f t="shared" si="3"/>
        <v>6.8000000000000007</v>
      </c>
    </row>
    <row r="6" spans="1:35">
      <c r="A6" s="676" t="s">
        <v>238</v>
      </c>
      <c r="B6" s="511" t="s">
        <v>282</v>
      </c>
      <c r="C6" s="511">
        <v>2130</v>
      </c>
      <c r="D6" s="195">
        <v>0.98</v>
      </c>
      <c r="E6" s="509">
        <v>281</v>
      </c>
      <c r="F6" s="107">
        <f t="shared" si="1"/>
        <v>586559.4</v>
      </c>
      <c r="G6" s="667">
        <v>4395</v>
      </c>
      <c r="H6" s="676">
        <f>SUM(N6:N13)</f>
        <v>9453</v>
      </c>
      <c r="I6" s="540">
        <v>670</v>
      </c>
      <c r="J6" s="540">
        <f>G6/H6*SUM(C6:C13)*I6</f>
        <v>3039970.311012377</v>
      </c>
      <c r="K6" s="598">
        <f>J6+SUM(F6:F13)</f>
        <v>5858824.6210123766</v>
      </c>
      <c r="L6" s="598">
        <f>K6/SUM(C6:C13)</f>
        <v>600.35091925529014</v>
      </c>
      <c r="M6" s="255">
        <v>30</v>
      </c>
      <c r="N6" s="417">
        <v>900</v>
      </c>
      <c r="O6" s="708" t="s">
        <v>238</v>
      </c>
      <c r="P6" s="513" t="s">
        <v>101</v>
      </c>
      <c r="Q6" s="513">
        <v>450</v>
      </c>
      <c r="R6" s="335">
        <v>1.1000000000000001</v>
      </c>
      <c r="S6" s="509">
        <v>281</v>
      </c>
      <c r="T6" s="107">
        <f t="shared" si="2"/>
        <v>139095.00000000003</v>
      </c>
      <c r="U6" s="624">
        <v>4395</v>
      </c>
      <c r="V6" s="675">
        <v>9453</v>
      </c>
      <c r="W6" s="590">
        <v>670</v>
      </c>
      <c r="X6" s="590">
        <f>U6/V6*SUM(Q6:Q13)*W6</f>
        <v>1467496.6835925104</v>
      </c>
      <c r="Y6" s="582">
        <f>X6+SUM(T6:T13)</f>
        <v>2923666.783592511</v>
      </c>
      <c r="Z6" s="582">
        <f>Y6/SUM(Q6:Q13)</f>
        <v>620.60428435417339</v>
      </c>
      <c r="AA6" s="255">
        <v>30</v>
      </c>
      <c r="AB6" s="507">
        <v>15</v>
      </c>
      <c r="AE6" s="701" t="s">
        <v>238</v>
      </c>
      <c r="AF6" s="457" t="s">
        <v>101</v>
      </c>
      <c r="AG6" s="458">
        <v>30</v>
      </c>
      <c r="AH6" s="462">
        <f t="shared" si="0"/>
        <v>15</v>
      </c>
      <c r="AI6" s="463">
        <f t="shared" si="3"/>
        <v>15</v>
      </c>
    </row>
    <row r="7" spans="1:35">
      <c r="A7" s="677"/>
      <c r="B7" s="511" t="s">
        <v>241</v>
      </c>
      <c r="C7" s="511">
        <v>1590</v>
      </c>
      <c r="D7" s="195">
        <v>0.98</v>
      </c>
      <c r="E7" s="509">
        <v>281</v>
      </c>
      <c r="F7" s="107">
        <f t="shared" si="1"/>
        <v>437854.2</v>
      </c>
      <c r="G7" s="668"/>
      <c r="H7" s="677"/>
      <c r="I7" s="549"/>
      <c r="J7" s="549"/>
      <c r="K7" s="601"/>
      <c r="L7" s="601"/>
      <c r="M7" s="255">
        <v>58</v>
      </c>
      <c r="N7" s="417">
        <v>1738</v>
      </c>
      <c r="O7" s="708"/>
      <c r="P7" s="513" t="s">
        <v>359</v>
      </c>
      <c r="Q7" s="513">
        <v>870</v>
      </c>
      <c r="R7" s="335">
        <v>1.1000000000000001</v>
      </c>
      <c r="S7" s="509">
        <v>281</v>
      </c>
      <c r="T7" s="107">
        <f t="shared" si="2"/>
        <v>268917.00000000006</v>
      </c>
      <c r="U7" s="624"/>
      <c r="V7" s="675"/>
      <c r="W7" s="590"/>
      <c r="X7" s="590"/>
      <c r="Y7" s="582"/>
      <c r="Z7" s="582"/>
      <c r="AA7" s="255">
        <v>58</v>
      </c>
      <c r="AB7" s="507">
        <v>29</v>
      </c>
      <c r="AE7" s="703"/>
      <c r="AF7" s="457" t="s">
        <v>359</v>
      </c>
      <c r="AG7" s="458">
        <v>58</v>
      </c>
      <c r="AH7" s="462">
        <f t="shared" si="0"/>
        <v>29</v>
      </c>
      <c r="AI7" s="463">
        <f t="shared" si="3"/>
        <v>29</v>
      </c>
    </row>
    <row r="8" spans="1:35">
      <c r="A8" s="677"/>
      <c r="B8" s="511" t="s">
        <v>95</v>
      </c>
      <c r="C8" s="511">
        <v>732</v>
      </c>
      <c r="D8" s="195">
        <v>0.98</v>
      </c>
      <c r="E8" s="509">
        <v>281</v>
      </c>
      <c r="F8" s="107">
        <f t="shared" si="1"/>
        <v>201578.16</v>
      </c>
      <c r="G8" s="668"/>
      <c r="H8" s="677"/>
      <c r="I8" s="549"/>
      <c r="J8" s="549"/>
      <c r="K8" s="601"/>
      <c r="L8" s="601"/>
      <c r="M8" s="255">
        <v>30</v>
      </c>
      <c r="N8" s="417">
        <v>900</v>
      </c>
      <c r="O8" s="708"/>
      <c r="P8" s="513" t="s">
        <v>245</v>
      </c>
      <c r="Q8" s="513">
        <v>450</v>
      </c>
      <c r="R8" s="335">
        <v>1.1000000000000001</v>
      </c>
      <c r="S8" s="509">
        <v>281</v>
      </c>
      <c r="T8" s="107">
        <f t="shared" si="2"/>
        <v>139095.00000000003</v>
      </c>
      <c r="U8" s="624"/>
      <c r="V8" s="675"/>
      <c r="W8" s="590"/>
      <c r="X8" s="590"/>
      <c r="Y8" s="582"/>
      <c r="Z8" s="582"/>
      <c r="AA8" s="255">
        <v>30</v>
      </c>
      <c r="AB8" s="507">
        <v>15</v>
      </c>
      <c r="AE8" s="703"/>
      <c r="AF8" s="457" t="s">
        <v>245</v>
      </c>
      <c r="AG8" s="458">
        <v>30</v>
      </c>
      <c r="AH8" s="462">
        <f t="shared" si="0"/>
        <v>15</v>
      </c>
      <c r="AI8" s="463">
        <f t="shared" si="3"/>
        <v>15</v>
      </c>
    </row>
    <row r="9" spans="1:35">
      <c r="A9" s="677"/>
      <c r="B9" s="511" t="s">
        <v>281</v>
      </c>
      <c r="C9" s="511">
        <v>870</v>
      </c>
      <c r="D9" s="195">
        <v>0.98</v>
      </c>
      <c r="E9" s="509">
        <v>281</v>
      </c>
      <c r="F9" s="107">
        <f t="shared" si="1"/>
        <v>239580.6</v>
      </c>
      <c r="G9" s="668"/>
      <c r="H9" s="677"/>
      <c r="I9" s="549"/>
      <c r="J9" s="549"/>
      <c r="K9" s="601"/>
      <c r="L9" s="601"/>
      <c r="M9" s="255">
        <v>58</v>
      </c>
      <c r="N9" s="417">
        <v>1734</v>
      </c>
      <c r="O9" s="708"/>
      <c r="P9" s="513" t="s">
        <v>328</v>
      </c>
      <c r="Q9" s="513">
        <v>870</v>
      </c>
      <c r="R9" s="335">
        <v>1.1000000000000001</v>
      </c>
      <c r="S9" s="509">
        <v>281</v>
      </c>
      <c r="T9" s="107">
        <f t="shared" si="2"/>
        <v>268917.00000000006</v>
      </c>
      <c r="U9" s="624"/>
      <c r="V9" s="675"/>
      <c r="W9" s="590"/>
      <c r="X9" s="590"/>
      <c r="Y9" s="582"/>
      <c r="Z9" s="582"/>
      <c r="AA9" s="255">
        <v>58</v>
      </c>
      <c r="AB9" s="507">
        <v>29</v>
      </c>
      <c r="AE9" s="703"/>
      <c r="AF9" s="457" t="s">
        <v>328</v>
      </c>
      <c r="AG9" s="458">
        <v>58</v>
      </c>
      <c r="AH9" s="462">
        <f t="shared" si="0"/>
        <v>29</v>
      </c>
      <c r="AI9" s="463">
        <f t="shared" si="3"/>
        <v>29</v>
      </c>
    </row>
    <row r="10" spans="1:35">
      <c r="A10" s="677"/>
      <c r="B10" s="511" t="s">
        <v>390</v>
      </c>
      <c r="C10" s="511">
        <v>925</v>
      </c>
      <c r="D10" s="195">
        <v>1.03</v>
      </c>
      <c r="E10" s="509">
        <v>281</v>
      </c>
      <c r="F10" s="107">
        <f t="shared" si="1"/>
        <v>267722.75</v>
      </c>
      <c r="G10" s="668"/>
      <c r="H10" s="677"/>
      <c r="I10" s="549"/>
      <c r="J10" s="549"/>
      <c r="K10" s="601"/>
      <c r="L10" s="601"/>
      <c r="M10" s="255">
        <v>51</v>
      </c>
      <c r="N10" s="417">
        <v>1539</v>
      </c>
      <c r="O10" s="708"/>
      <c r="P10" s="513" t="s">
        <v>95</v>
      </c>
      <c r="Q10" s="513">
        <v>750</v>
      </c>
      <c r="R10" s="335">
        <v>1.1000000000000001</v>
      </c>
      <c r="S10" s="509">
        <v>281</v>
      </c>
      <c r="T10" s="107">
        <f t="shared" si="2"/>
        <v>231825.00000000003</v>
      </c>
      <c r="U10" s="624"/>
      <c r="V10" s="675"/>
      <c r="W10" s="590"/>
      <c r="X10" s="590"/>
      <c r="Y10" s="582"/>
      <c r="Z10" s="582"/>
      <c r="AA10" s="255">
        <v>51</v>
      </c>
      <c r="AB10" s="507">
        <v>25</v>
      </c>
      <c r="AE10" s="703"/>
      <c r="AF10" s="457" t="s">
        <v>95</v>
      </c>
      <c r="AG10" s="458">
        <v>51</v>
      </c>
      <c r="AH10" s="462">
        <f t="shared" si="0"/>
        <v>25</v>
      </c>
      <c r="AI10" s="463">
        <f t="shared" si="3"/>
        <v>26</v>
      </c>
    </row>
    <row r="11" spans="1:35">
      <c r="A11" s="677"/>
      <c r="B11" s="511" t="s">
        <v>391</v>
      </c>
      <c r="C11" s="511">
        <v>930</v>
      </c>
      <c r="D11" s="195">
        <v>1.1000000000000001</v>
      </c>
      <c r="E11" s="509">
        <v>281</v>
      </c>
      <c r="F11" s="107">
        <f t="shared" si="1"/>
        <v>287463.00000000006</v>
      </c>
      <c r="G11" s="668"/>
      <c r="H11" s="677"/>
      <c r="I11" s="549"/>
      <c r="J11" s="549"/>
      <c r="K11" s="601"/>
      <c r="L11" s="601"/>
      <c r="M11" s="255">
        <v>49</v>
      </c>
      <c r="N11" s="417">
        <v>1487</v>
      </c>
      <c r="O11" s="708"/>
      <c r="P11" s="513" t="s">
        <v>114</v>
      </c>
      <c r="Q11" s="513">
        <v>750</v>
      </c>
      <c r="R11" s="335">
        <v>1.1000000000000001</v>
      </c>
      <c r="S11" s="509">
        <v>281</v>
      </c>
      <c r="T11" s="107">
        <f t="shared" si="2"/>
        <v>231825.00000000003</v>
      </c>
      <c r="U11" s="624"/>
      <c r="V11" s="675"/>
      <c r="W11" s="590"/>
      <c r="X11" s="590"/>
      <c r="Y11" s="582"/>
      <c r="Z11" s="582"/>
      <c r="AA11" s="255">
        <v>49</v>
      </c>
      <c r="AB11" s="507">
        <v>25</v>
      </c>
      <c r="AE11" s="703"/>
      <c r="AF11" s="457" t="s">
        <v>114</v>
      </c>
      <c r="AG11" s="458">
        <v>49</v>
      </c>
      <c r="AH11" s="462">
        <f t="shared" si="0"/>
        <v>25</v>
      </c>
      <c r="AI11" s="463">
        <f t="shared" si="3"/>
        <v>24</v>
      </c>
    </row>
    <row r="12" spans="1:35">
      <c r="A12" s="677"/>
      <c r="B12" s="511" t="s">
        <v>390</v>
      </c>
      <c r="C12" s="511">
        <v>1682</v>
      </c>
      <c r="D12" s="195">
        <v>1.1000000000000001</v>
      </c>
      <c r="E12" s="509">
        <v>281</v>
      </c>
      <c r="F12" s="107">
        <f t="shared" si="1"/>
        <v>519906.2</v>
      </c>
      <c r="G12" s="668"/>
      <c r="H12" s="677"/>
      <c r="I12" s="549"/>
      <c r="J12" s="549"/>
      <c r="K12" s="601"/>
      <c r="L12" s="601"/>
      <c r="M12" s="255">
        <v>18</v>
      </c>
      <c r="N12" s="417">
        <v>541</v>
      </c>
      <c r="O12" s="708"/>
      <c r="P12" s="513" t="s">
        <v>285</v>
      </c>
      <c r="Q12" s="513">
        <v>271</v>
      </c>
      <c r="R12" s="335">
        <v>1.1000000000000001</v>
      </c>
      <c r="S12" s="509">
        <v>281</v>
      </c>
      <c r="T12" s="107">
        <f t="shared" si="2"/>
        <v>83766.100000000006</v>
      </c>
      <c r="U12" s="624"/>
      <c r="V12" s="675"/>
      <c r="W12" s="590"/>
      <c r="X12" s="590"/>
      <c r="Y12" s="582"/>
      <c r="Z12" s="582"/>
      <c r="AA12" s="255">
        <v>18</v>
      </c>
      <c r="AB12" s="507">
        <v>9</v>
      </c>
      <c r="AE12" s="703"/>
      <c r="AF12" s="457" t="s">
        <v>285</v>
      </c>
      <c r="AG12" s="458">
        <v>18</v>
      </c>
      <c r="AH12" s="462">
        <f t="shared" si="0"/>
        <v>9.0333333333333332</v>
      </c>
      <c r="AI12" s="463">
        <f t="shared" si="3"/>
        <v>8.9666666666666668</v>
      </c>
    </row>
    <row r="13" spans="1:35">
      <c r="A13" s="678"/>
      <c r="B13" s="511" t="s">
        <v>397</v>
      </c>
      <c r="C13" s="511">
        <v>900</v>
      </c>
      <c r="D13" s="195">
        <v>1.1000000000000001</v>
      </c>
      <c r="E13" s="509">
        <v>281</v>
      </c>
      <c r="F13" s="107">
        <f t="shared" si="1"/>
        <v>278190.00000000006</v>
      </c>
      <c r="G13" s="669"/>
      <c r="H13" s="678"/>
      <c r="I13" s="541"/>
      <c r="J13" s="541"/>
      <c r="K13" s="599"/>
      <c r="L13" s="599"/>
      <c r="M13" s="255">
        <v>20</v>
      </c>
      <c r="N13" s="417">
        <v>614</v>
      </c>
      <c r="O13" s="708"/>
      <c r="P13" s="513" t="s">
        <v>100</v>
      </c>
      <c r="Q13" s="513">
        <v>300</v>
      </c>
      <c r="R13" s="335">
        <v>1.1000000000000001</v>
      </c>
      <c r="S13" s="509">
        <v>281</v>
      </c>
      <c r="T13" s="107">
        <f t="shared" si="2"/>
        <v>92730</v>
      </c>
      <c r="U13" s="624"/>
      <c r="V13" s="675"/>
      <c r="W13" s="590"/>
      <c r="X13" s="590"/>
      <c r="Y13" s="582"/>
      <c r="Z13" s="582"/>
      <c r="AA13" s="255">
        <v>20</v>
      </c>
      <c r="AB13" s="507">
        <v>10</v>
      </c>
      <c r="AE13" s="702"/>
      <c r="AF13" s="457" t="s">
        <v>100</v>
      </c>
      <c r="AG13" s="458">
        <v>20</v>
      </c>
      <c r="AH13" s="462">
        <f t="shared" si="0"/>
        <v>10</v>
      </c>
      <c r="AI13" s="463">
        <f t="shared" si="3"/>
        <v>10</v>
      </c>
    </row>
    <row r="14" spans="1:35">
      <c r="A14" s="711" t="s">
        <v>376</v>
      </c>
      <c r="B14" s="511" t="s">
        <v>398</v>
      </c>
      <c r="C14" s="511">
        <v>703</v>
      </c>
      <c r="D14" s="195">
        <v>1.1000000000000001</v>
      </c>
      <c r="E14" s="509">
        <v>281</v>
      </c>
      <c r="F14" s="107">
        <f t="shared" si="1"/>
        <v>217297.30000000002</v>
      </c>
      <c r="G14" s="633">
        <v>816</v>
      </c>
      <c r="H14" s="711">
        <f>SUM(N14:N17)</f>
        <v>1348</v>
      </c>
      <c r="I14" s="540">
        <v>670</v>
      </c>
      <c r="J14" s="540">
        <f>G14/H14*SUM(C14:C17)*I14</f>
        <v>1912708.8427299706</v>
      </c>
      <c r="K14" s="598">
        <f>J14+SUM(F14:F17)</f>
        <v>3144893.8427299708</v>
      </c>
      <c r="L14" s="598">
        <f>K14/SUM(C14:C17)</f>
        <v>666.85620074850954</v>
      </c>
      <c r="M14" s="255">
        <v>13</v>
      </c>
      <c r="N14" s="361">
        <v>390</v>
      </c>
      <c r="O14" s="707" t="s">
        <v>376</v>
      </c>
      <c r="P14" s="514" t="s">
        <v>272</v>
      </c>
      <c r="Q14" s="513">
        <v>210</v>
      </c>
      <c r="R14" s="514">
        <v>1.72</v>
      </c>
      <c r="S14" s="509">
        <v>281</v>
      </c>
      <c r="T14" s="107">
        <f t="shared" si="2"/>
        <v>101497.2</v>
      </c>
      <c r="U14" s="640">
        <v>816</v>
      </c>
      <c r="V14" s="688">
        <v>1348</v>
      </c>
      <c r="W14" s="590">
        <v>670</v>
      </c>
      <c r="X14" s="590">
        <f>U14/V14*SUM(Q14:Q17)*W14</f>
        <v>303372.81899109797</v>
      </c>
      <c r="Y14" s="582">
        <f>X14+SUM(T14:T17)</f>
        <v>674056.77899109793</v>
      </c>
      <c r="Z14" s="582">
        <f>Y14/SUM(Q14:Q17)</f>
        <v>901.1454264586871</v>
      </c>
      <c r="AA14" s="255">
        <v>13</v>
      </c>
      <c r="AB14" s="507">
        <v>7</v>
      </c>
      <c r="AE14" s="704" t="s">
        <v>376</v>
      </c>
      <c r="AF14" s="459" t="s">
        <v>272</v>
      </c>
      <c r="AG14" s="458">
        <v>13</v>
      </c>
      <c r="AH14" s="462">
        <f t="shared" si="0"/>
        <v>7</v>
      </c>
      <c r="AI14" s="463">
        <f t="shared" si="3"/>
        <v>6</v>
      </c>
    </row>
    <row r="15" spans="1:35">
      <c r="A15" s="712"/>
      <c r="B15" s="511" t="s">
        <v>112</v>
      </c>
      <c r="C15" s="511">
        <v>999</v>
      </c>
      <c r="D15" s="195">
        <v>0.9</v>
      </c>
      <c r="E15" s="509">
        <v>281</v>
      </c>
      <c r="F15" s="107">
        <f t="shared" si="1"/>
        <v>252647.1</v>
      </c>
      <c r="G15" s="635"/>
      <c r="H15" s="712"/>
      <c r="I15" s="549"/>
      <c r="J15" s="549"/>
      <c r="K15" s="601"/>
      <c r="L15" s="601"/>
      <c r="M15" s="255">
        <v>12</v>
      </c>
      <c r="N15" s="361">
        <v>362</v>
      </c>
      <c r="O15" s="707"/>
      <c r="P15" s="514" t="s">
        <v>96</v>
      </c>
      <c r="Q15" s="513">
        <v>212</v>
      </c>
      <c r="R15" s="514">
        <v>1.72</v>
      </c>
      <c r="S15" s="509">
        <v>281</v>
      </c>
      <c r="T15" s="107">
        <f t="shared" si="2"/>
        <v>102463.84</v>
      </c>
      <c r="U15" s="640"/>
      <c r="V15" s="688"/>
      <c r="W15" s="590"/>
      <c r="X15" s="590"/>
      <c r="Y15" s="582"/>
      <c r="Z15" s="582"/>
      <c r="AA15" s="255">
        <v>12</v>
      </c>
      <c r="AB15" s="507">
        <v>7</v>
      </c>
      <c r="AE15" s="705"/>
      <c r="AF15" s="459" t="s">
        <v>96</v>
      </c>
      <c r="AG15" s="458">
        <v>12</v>
      </c>
      <c r="AH15" s="462">
        <f t="shared" si="0"/>
        <v>7.0666666666666664</v>
      </c>
      <c r="AI15" s="463">
        <f t="shared" si="3"/>
        <v>4.9333333333333336</v>
      </c>
    </row>
    <row r="16" spans="1:35">
      <c r="A16" s="712"/>
      <c r="B16" s="511" t="s">
        <v>392</v>
      </c>
      <c r="C16" s="511">
        <v>1552</v>
      </c>
      <c r="D16" s="195">
        <v>0.9</v>
      </c>
      <c r="E16" s="509">
        <v>281</v>
      </c>
      <c r="F16" s="107">
        <f t="shared" si="1"/>
        <v>392500.8</v>
      </c>
      <c r="G16" s="635"/>
      <c r="H16" s="712"/>
      <c r="I16" s="549"/>
      <c r="J16" s="549"/>
      <c r="K16" s="601"/>
      <c r="L16" s="601"/>
      <c r="M16" s="255">
        <v>13</v>
      </c>
      <c r="N16" s="417">
        <v>390</v>
      </c>
      <c r="O16" s="707"/>
      <c r="P16" s="513" t="s">
        <v>95</v>
      </c>
      <c r="Q16" s="513">
        <v>210</v>
      </c>
      <c r="R16" s="335">
        <v>1.82</v>
      </c>
      <c r="S16" s="509">
        <v>281</v>
      </c>
      <c r="T16" s="107">
        <f t="shared" si="2"/>
        <v>107398.2</v>
      </c>
      <c r="U16" s="640"/>
      <c r="V16" s="688"/>
      <c r="W16" s="590"/>
      <c r="X16" s="590"/>
      <c r="Y16" s="582"/>
      <c r="Z16" s="582"/>
      <c r="AA16" s="255">
        <v>13</v>
      </c>
      <c r="AB16" s="507">
        <v>7</v>
      </c>
      <c r="AE16" s="705"/>
      <c r="AF16" s="457" t="s">
        <v>95</v>
      </c>
      <c r="AG16" s="458">
        <v>13</v>
      </c>
      <c r="AH16" s="462">
        <f t="shared" si="0"/>
        <v>7</v>
      </c>
      <c r="AI16" s="463">
        <f t="shared" si="3"/>
        <v>6</v>
      </c>
    </row>
    <row r="17" spans="1:35">
      <c r="A17" s="713"/>
      <c r="B17" s="511" t="s">
        <v>95</v>
      </c>
      <c r="C17" s="511">
        <v>1462</v>
      </c>
      <c r="D17" s="195">
        <v>0.9</v>
      </c>
      <c r="E17" s="509">
        <v>281</v>
      </c>
      <c r="F17" s="107">
        <f t="shared" si="1"/>
        <v>369739.8</v>
      </c>
      <c r="G17" s="634"/>
      <c r="H17" s="713"/>
      <c r="I17" s="541"/>
      <c r="J17" s="541"/>
      <c r="K17" s="599"/>
      <c r="L17" s="599"/>
      <c r="M17" s="255">
        <v>7</v>
      </c>
      <c r="N17" s="361">
        <v>206</v>
      </c>
      <c r="O17" s="707"/>
      <c r="P17" s="514" t="s">
        <v>102</v>
      </c>
      <c r="Q17" s="513">
        <v>116</v>
      </c>
      <c r="R17" s="514">
        <v>1.82</v>
      </c>
      <c r="S17" s="509">
        <v>281</v>
      </c>
      <c r="T17" s="107">
        <f t="shared" si="2"/>
        <v>59324.72</v>
      </c>
      <c r="U17" s="640"/>
      <c r="V17" s="688"/>
      <c r="W17" s="590"/>
      <c r="X17" s="590"/>
      <c r="Y17" s="582"/>
      <c r="Z17" s="582"/>
      <c r="AA17" s="255">
        <v>7</v>
      </c>
      <c r="AB17" s="507">
        <v>4</v>
      </c>
      <c r="AE17" s="706"/>
      <c r="AF17" s="459" t="s">
        <v>102</v>
      </c>
      <c r="AG17" s="458">
        <v>7</v>
      </c>
      <c r="AH17" s="462">
        <f t="shared" si="0"/>
        <v>3.8666666666666667</v>
      </c>
      <c r="AI17" s="463">
        <f t="shared" si="3"/>
        <v>3.1333333333333333</v>
      </c>
    </row>
    <row r="18" spans="1:35" ht="25.5">
      <c r="A18" s="711" t="s">
        <v>295</v>
      </c>
      <c r="B18" s="511" t="s">
        <v>329</v>
      </c>
      <c r="C18" s="511">
        <v>1109</v>
      </c>
      <c r="D18" s="195">
        <v>0.9</v>
      </c>
      <c r="E18" s="509">
        <v>281</v>
      </c>
      <c r="F18" s="107">
        <f t="shared" si="1"/>
        <v>280466.10000000003</v>
      </c>
      <c r="G18" s="633">
        <v>1440</v>
      </c>
      <c r="H18" s="711">
        <f>SUM(N18:N21)</f>
        <v>4088</v>
      </c>
      <c r="I18" s="540">
        <v>670</v>
      </c>
      <c r="J18" s="540">
        <f>G18/H18*SUM(C18:C21)*I18</f>
        <v>960551.85909980431</v>
      </c>
      <c r="K18" s="598">
        <f>J18+SUM(F18:F21)</f>
        <v>2058373.8990998045</v>
      </c>
      <c r="L18" s="598">
        <f>K18/SUM(C18:C21)</f>
        <v>505.7429727517947</v>
      </c>
      <c r="M18" s="255">
        <v>50</v>
      </c>
      <c r="N18" s="417">
        <v>1500</v>
      </c>
      <c r="O18" s="707" t="s">
        <v>295</v>
      </c>
      <c r="P18" s="515" t="s">
        <v>377</v>
      </c>
      <c r="Q18" s="513">
        <v>780</v>
      </c>
      <c r="R18" s="335">
        <v>1.03</v>
      </c>
      <c r="S18" s="509">
        <v>281</v>
      </c>
      <c r="T18" s="107">
        <f t="shared" si="2"/>
        <v>225755.4</v>
      </c>
      <c r="U18" s="640">
        <v>1440</v>
      </c>
      <c r="V18" s="688">
        <v>4088</v>
      </c>
      <c r="W18" s="590">
        <v>670</v>
      </c>
      <c r="X18" s="590">
        <f>U18/V18*SUM(Q18:Q21)*W18</f>
        <v>512609.00195694715</v>
      </c>
      <c r="Y18" s="582">
        <f>X18+SUM(T18:T21)</f>
        <v>1133495.3619569473</v>
      </c>
      <c r="Z18" s="582">
        <f>Y18/SUM(Q18:Q21)</f>
        <v>521.86710955660556</v>
      </c>
      <c r="AA18" s="255">
        <v>50</v>
      </c>
      <c r="AB18" s="507">
        <v>26</v>
      </c>
      <c r="AE18" s="704" t="s">
        <v>295</v>
      </c>
      <c r="AF18" s="460" t="s">
        <v>377</v>
      </c>
      <c r="AG18" s="458">
        <v>50</v>
      </c>
      <c r="AH18" s="462">
        <f t="shared" si="0"/>
        <v>26</v>
      </c>
      <c r="AI18" s="463">
        <f t="shared" si="3"/>
        <v>24</v>
      </c>
    </row>
    <row r="19" spans="1:35" ht="25.5">
      <c r="A19" s="712"/>
      <c r="B19" s="511" t="s">
        <v>281</v>
      </c>
      <c r="C19" s="511">
        <v>929</v>
      </c>
      <c r="D19" s="195">
        <v>0.9</v>
      </c>
      <c r="E19" s="509">
        <v>281</v>
      </c>
      <c r="F19" s="107">
        <f t="shared" si="1"/>
        <v>234944.1</v>
      </c>
      <c r="G19" s="635"/>
      <c r="H19" s="712"/>
      <c r="I19" s="549"/>
      <c r="J19" s="549"/>
      <c r="K19" s="601"/>
      <c r="L19" s="601"/>
      <c r="M19" s="255">
        <v>27</v>
      </c>
      <c r="N19" s="417">
        <v>836</v>
      </c>
      <c r="O19" s="707"/>
      <c r="P19" s="515" t="s">
        <v>378</v>
      </c>
      <c r="Q19" s="513">
        <v>450</v>
      </c>
      <c r="R19" s="335">
        <v>1.03</v>
      </c>
      <c r="S19" s="509">
        <v>281</v>
      </c>
      <c r="T19" s="107">
        <f t="shared" si="2"/>
        <v>130243.5</v>
      </c>
      <c r="U19" s="640"/>
      <c r="V19" s="688"/>
      <c r="W19" s="590"/>
      <c r="X19" s="590"/>
      <c r="Y19" s="582"/>
      <c r="Z19" s="582"/>
      <c r="AA19" s="255">
        <v>27</v>
      </c>
      <c r="AB19" s="507">
        <v>15</v>
      </c>
      <c r="AE19" s="705"/>
      <c r="AF19" s="460" t="s">
        <v>378</v>
      </c>
      <c r="AG19" s="458">
        <v>27</v>
      </c>
      <c r="AH19" s="462">
        <f t="shared" si="0"/>
        <v>15</v>
      </c>
      <c r="AI19" s="463">
        <f t="shared" si="3"/>
        <v>12</v>
      </c>
    </row>
    <row r="20" spans="1:35" ht="25.5">
      <c r="A20" s="712"/>
      <c r="B20" s="511" t="s">
        <v>101</v>
      </c>
      <c r="C20" s="511">
        <v>750</v>
      </c>
      <c r="D20" s="195">
        <v>1.02</v>
      </c>
      <c r="E20" s="509">
        <v>281</v>
      </c>
      <c r="F20" s="107">
        <f t="shared" si="1"/>
        <v>214965</v>
      </c>
      <c r="G20" s="635"/>
      <c r="H20" s="712"/>
      <c r="I20" s="549"/>
      <c r="J20" s="549"/>
      <c r="K20" s="601"/>
      <c r="L20" s="601"/>
      <c r="M20" s="255">
        <v>24</v>
      </c>
      <c r="N20" s="417">
        <v>720</v>
      </c>
      <c r="O20" s="707"/>
      <c r="P20" s="454" t="s">
        <v>330</v>
      </c>
      <c r="Q20" s="513">
        <v>390</v>
      </c>
      <c r="R20" s="335">
        <v>1.03</v>
      </c>
      <c r="S20" s="509">
        <v>281</v>
      </c>
      <c r="T20" s="107">
        <f t="shared" si="2"/>
        <v>112877.7</v>
      </c>
      <c r="U20" s="640"/>
      <c r="V20" s="688"/>
      <c r="W20" s="590"/>
      <c r="X20" s="590"/>
      <c r="Y20" s="582"/>
      <c r="Z20" s="582"/>
      <c r="AA20" s="255">
        <v>24</v>
      </c>
      <c r="AB20" s="507">
        <v>13</v>
      </c>
      <c r="AE20" s="705"/>
      <c r="AF20" s="460" t="s">
        <v>330</v>
      </c>
      <c r="AG20" s="458">
        <v>24</v>
      </c>
      <c r="AH20" s="462">
        <f t="shared" si="0"/>
        <v>13</v>
      </c>
      <c r="AI20" s="463">
        <f t="shared" si="3"/>
        <v>11</v>
      </c>
    </row>
    <row r="21" spans="1:35">
      <c r="A21" s="713"/>
      <c r="B21" s="511" t="s">
        <v>150</v>
      </c>
      <c r="C21" s="511">
        <v>1282</v>
      </c>
      <c r="D21" s="195">
        <v>1.02</v>
      </c>
      <c r="E21" s="509">
        <v>281</v>
      </c>
      <c r="F21" s="107">
        <f t="shared" si="1"/>
        <v>367446.84</v>
      </c>
      <c r="G21" s="634"/>
      <c r="H21" s="713"/>
      <c r="I21" s="541"/>
      <c r="J21" s="541"/>
      <c r="K21" s="599"/>
      <c r="L21" s="599"/>
      <c r="M21" s="255">
        <v>34</v>
      </c>
      <c r="N21" s="417">
        <v>1032</v>
      </c>
      <c r="O21" s="707"/>
      <c r="P21" s="515" t="s">
        <v>101</v>
      </c>
      <c r="Q21" s="513">
        <v>552</v>
      </c>
      <c r="R21" s="335">
        <v>0.98</v>
      </c>
      <c r="S21" s="509">
        <v>281</v>
      </c>
      <c r="T21" s="107">
        <f t="shared" si="2"/>
        <v>152009.76</v>
      </c>
      <c r="U21" s="640"/>
      <c r="V21" s="688"/>
      <c r="W21" s="590"/>
      <c r="X21" s="590"/>
      <c r="Y21" s="582"/>
      <c r="Z21" s="582"/>
      <c r="AA21" s="255">
        <v>34</v>
      </c>
      <c r="AB21" s="507">
        <v>18</v>
      </c>
      <c r="AE21" s="706"/>
      <c r="AF21" s="460" t="s">
        <v>101</v>
      </c>
      <c r="AG21" s="458">
        <v>34</v>
      </c>
      <c r="AH21" s="462">
        <f t="shared" si="0"/>
        <v>18.399999999999999</v>
      </c>
      <c r="AI21" s="463">
        <f t="shared" si="3"/>
        <v>15.600000000000001</v>
      </c>
    </row>
    <row r="22" spans="1:35" ht="38.25">
      <c r="A22" s="711" t="s">
        <v>352</v>
      </c>
      <c r="B22" s="511" t="s">
        <v>95</v>
      </c>
      <c r="C22" s="511">
        <v>1933</v>
      </c>
      <c r="D22" s="195">
        <v>1.02</v>
      </c>
      <c r="E22" s="509">
        <v>281</v>
      </c>
      <c r="F22" s="107">
        <f t="shared" si="1"/>
        <v>554036.46000000008</v>
      </c>
      <c r="G22" s="633">
        <v>455</v>
      </c>
      <c r="H22" s="711">
        <f>SUM(N22:N26)</f>
        <v>25000</v>
      </c>
      <c r="I22" s="540">
        <v>300</v>
      </c>
      <c r="J22" s="540">
        <f>G22/H22*SUM(C22:C26)*I22</f>
        <v>44690.100000000006</v>
      </c>
      <c r="K22" s="598">
        <f>J22+SUM(F22:F26)</f>
        <v>2390674.8000000003</v>
      </c>
      <c r="L22" s="598">
        <f>K22/SUM(C22:C26)</f>
        <v>292.08000000000004</v>
      </c>
      <c r="M22" s="255">
        <v>10</v>
      </c>
      <c r="N22" s="361">
        <v>10000</v>
      </c>
      <c r="O22" s="707" t="s">
        <v>352</v>
      </c>
      <c r="P22" s="515" t="s">
        <v>379</v>
      </c>
      <c r="Q22" s="513">
        <v>0</v>
      </c>
      <c r="R22" s="415">
        <v>0.28999999999999998</v>
      </c>
      <c r="S22" s="509">
        <v>281</v>
      </c>
      <c r="T22" s="107">
        <f t="shared" si="2"/>
        <v>0</v>
      </c>
      <c r="U22" s="640">
        <v>455</v>
      </c>
      <c r="V22" s="688">
        <v>25000</v>
      </c>
      <c r="W22" s="590">
        <v>670</v>
      </c>
      <c r="X22" s="590">
        <v>0</v>
      </c>
      <c r="Y22" s="582">
        <v>0</v>
      </c>
      <c r="Z22" s="582">
        <v>0</v>
      </c>
      <c r="AA22" s="255">
        <v>10</v>
      </c>
      <c r="AB22" s="507">
        <v>0</v>
      </c>
      <c r="AE22" s="704" t="s">
        <v>352</v>
      </c>
      <c r="AF22" s="460" t="s">
        <v>379</v>
      </c>
      <c r="AG22" s="458">
        <v>10</v>
      </c>
      <c r="AH22" s="462">
        <f t="shared" si="0"/>
        <v>0</v>
      </c>
      <c r="AI22" s="463">
        <f t="shared" si="3"/>
        <v>10</v>
      </c>
    </row>
    <row r="23" spans="1:35" ht="25.5">
      <c r="A23" s="712"/>
      <c r="B23" s="511" t="s">
        <v>102</v>
      </c>
      <c r="C23" s="511">
        <v>1934</v>
      </c>
      <c r="D23" s="195">
        <v>1.02</v>
      </c>
      <c r="E23" s="509">
        <v>281</v>
      </c>
      <c r="F23" s="107">
        <f t="shared" si="1"/>
        <v>554323.08000000007</v>
      </c>
      <c r="G23" s="635"/>
      <c r="H23" s="712"/>
      <c r="I23" s="549"/>
      <c r="J23" s="549"/>
      <c r="K23" s="601"/>
      <c r="L23" s="601"/>
      <c r="M23" s="255">
        <v>6</v>
      </c>
      <c r="N23" s="361">
        <v>6000</v>
      </c>
      <c r="O23" s="707"/>
      <c r="P23" s="515" t="s">
        <v>380</v>
      </c>
      <c r="Q23" s="513">
        <v>0</v>
      </c>
      <c r="R23" s="415">
        <v>0.27</v>
      </c>
      <c r="S23" s="509">
        <v>281</v>
      </c>
      <c r="T23" s="107">
        <f t="shared" si="2"/>
        <v>0</v>
      </c>
      <c r="U23" s="640"/>
      <c r="V23" s="688"/>
      <c r="W23" s="590"/>
      <c r="X23" s="590"/>
      <c r="Y23" s="582"/>
      <c r="Z23" s="582"/>
      <c r="AA23" s="255">
        <v>6</v>
      </c>
      <c r="AB23" s="507">
        <v>0</v>
      </c>
      <c r="AE23" s="705"/>
      <c r="AF23" s="460" t="s">
        <v>380</v>
      </c>
      <c r="AG23" s="458">
        <v>6</v>
      </c>
      <c r="AH23" s="462">
        <f t="shared" si="0"/>
        <v>0</v>
      </c>
      <c r="AI23" s="463">
        <f t="shared" si="3"/>
        <v>6</v>
      </c>
    </row>
    <row r="24" spans="1:35" ht="38.25">
      <c r="A24" s="712"/>
      <c r="B24" s="511" t="s">
        <v>114</v>
      </c>
      <c r="C24" s="511">
        <v>1440</v>
      </c>
      <c r="D24" s="195">
        <v>1.02</v>
      </c>
      <c r="E24" s="509">
        <v>281</v>
      </c>
      <c r="F24" s="107">
        <f t="shared" si="1"/>
        <v>412732.8</v>
      </c>
      <c r="G24" s="635"/>
      <c r="H24" s="712"/>
      <c r="I24" s="549"/>
      <c r="J24" s="549"/>
      <c r="K24" s="601"/>
      <c r="L24" s="601"/>
      <c r="M24" s="255">
        <v>3</v>
      </c>
      <c r="N24" s="361">
        <v>3000</v>
      </c>
      <c r="O24" s="707"/>
      <c r="P24" s="515" t="s">
        <v>381</v>
      </c>
      <c r="Q24" s="513">
        <v>0</v>
      </c>
      <c r="R24" s="415">
        <v>0.28999999999999998</v>
      </c>
      <c r="S24" s="509">
        <v>281</v>
      </c>
      <c r="T24" s="107">
        <f t="shared" si="2"/>
        <v>0</v>
      </c>
      <c r="U24" s="640"/>
      <c r="V24" s="688"/>
      <c r="W24" s="590"/>
      <c r="X24" s="590"/>
      <c r="Y24" s="582"/>
      <c r="Z24" s="582"/>
      <c r="AA24" s="255">
        <v>3</v>
      </c>
      <c r="AB24" s="507">
        <v>0</v>
      </c>
      <c r="AE24" s="705"/>
      <c r="AF24" s="460" t="s">
        <v>381</v>
      </c>
      <c r="AG24" s="458">
        <v>3</v>
      </c>
      <c r="AH24" s="462">
        <f t="shared" si="0"/>
        <v>0</v>
      </c>
      <c r="AI24" s="463">
        <f t="shared" si="3"/>
        <v>3</v>
      </c>
    </row>
    <row r="25" spans="1:35" ht="51">
      <c r="A25" s="712"/>
      <c r="B25" s="511" t="s">
        <v>100</v>
      </c>
      <c r="C25" s="511">
        <v>998</v>
      </c>
      <c r="D25" s="195">
        <v>1.02</v>
      </c>
      <c r="E25" s="509">
        <v>281</v>
      </c>
      <c r="F25" s="107">
        <f t="shared" si="1"/>
        <v>286046.76</v>
      </c>
      <c r="G25" s="635"/>
      <c r="H25" s="712"/>
      <c r="I25" s="549"/>
      <c r="J25" s="549"/>
      <c r="K25" s="601"/>
      <c r="L25" s="601"/>
      <c r="M25" s="255">
        <v>3</v>
      </c>
      <c r="N25" s="361">
        <v>3000</v>
      </c>
      <c r="O25" s="707"/>
      <c r="P25" s="515" t="s">
        <v>370</v>
      </c>
      <c r="Q25" s="513">
        <v>0</v>
      </c>
      <c r="R25" s="415">
        <v>0.28999999999999998</v>
      </c>
      <c r="S25" s="509">
        <v>281</v>
      </c>
      <c r="T25" s="107">
        <f t="shared" si="2"/>
        <v>0</v>
      </c>
      <c r="U25" s="640"/>
      <c r="V25" s="688"/>
      <c r="W25" s="590"/>
      <c r="X25" s="590"/>
      <c r="Y25" s="582"/>
      <c r="Z25" s="582"/>
      <c r="AA25" s="255">
        <v>3</v>
      </c>
      <c r="AB25" s="507">
        <v>0</v>
      </c>
      <c r="AE25" s="705"/>
      <c r="AF25" s="460" t="s">
        <v>370</v>
      </c>
      <c r="AG25" s="458">
        <v>3</v>
      </c>
      <c r="AH25" s="462">
        <f t="shared" si="0"/>
        <v>0</v>
      </c>
      <c r="AI25" s="463">
        <f t="shared" si="3"/>
        <v>3</v>
      </c>
    </row>
    <row r="26" spans="1:35" ht="38.25">
      <c r="A26" s="713"/>
      <c r="B26" s="511" t="s">
        <v>245</v>
      </c>
      <c r="C26" s="511">
        <v>1880</v>
      </c>
      <c r="D26" s="195">
        <v>1.02</v>
      </c>
      <c r="E26" s="509">
        <v>281</v>
      </c>
      <c r="F26" s="107">
        <f t="shared" si="1"/>
        <v>538845.60000000009</v>
      </c>
      <c r="G26" s="634"/>
      <c r="H26" s="713"/>
      <c r="I26" s="541"/>
      <c r="J26" s="541"/>
      <c r="K26" s="599"/>
      <c r="L26" s="599"/>
      <c r="M26" s="255">
        <v>3</v>
      </c>
      <c r="N26" s="417">
        <v>3000</v>
      </c>
      <c r="O26" s="707"/>
      <c r="P26" s="515" t="s">
        <v>382</v>
      </c>
      <c r="Q26" s="513">
        <v>0</v>
      </c>
      <c r="R26" s="415">
        <v>0.28999999999999998</v>
      </c>
      <c r="S26" s="509">
        <v>281</v>
      </c>
      <c r="T26" s="107">
        <f t="shared" si="2"/>
        <v>0</v>
      </c>
      <c r="U26" s="640"/>
      <c r="V26" s="688"/>
      <c r="W26" s="590"/>
      <c r="X26" s="590"/>
      <c r="Y26" s="582"/>
      <c r="Z26" s="582"/>
      <c r="AA26" s="255">
        <v>3</v>
      </c>
      <c r="AB26" s="507">
        <v>0</v>
      </c>
      <c r="AE26" s="706"/>
      <c r="AF26" s="460" t="s">
        <v>382</v>
      </c>
      <c r="AG26" s="458">
        <v>3</v>
      </c>
      <c r="AH26" s="462">
        <f t="shared" si="0"/>
        <v>0</v>
      </c>
      <c r="AI26" s="463">
        <f t="shared" si="3"/>
        <v>3</v>
      </c>
    </row>
    <row r="27" spans="1:35" ht="15.75">
      <c r="A27" s="509" t="s">
        <v>4</v>
      </c>
      <c r="B27" s="511" t="s">
        <v>101</v>
      </c>
      <c r="C27" s="511">
        <v>1020</v>
      </c>
      <c r="D27" s="195">
        <v>1.8</v>
      </c>
      <c r="E27" s="509">
        <v>281</v>
      </c>
      <c r="F27" s="508">
        <f>SUM(F3:F26)</f>
        <v>9054362.3299999982</v>
      </c>
      <c r="G27" s="509">
        <f>SUM(G3:G26)</f>
        <v>8540</v>
      </c>
      <c r="H27" s="445">
        <f>SUM(H3:H26)</f>
        <v>43907</v>
      </c>
      <c r="I27" s="509"/>
      <c r="J27" s="509">
        <f>SUM(J3:J26)</f>
        <v>7238413.2815798884</v>
      </c>
      <c r="K27" s="508">
        <f>SUM(K3:K26)</f>
        <v>16292775.611579889</v>
      </c>
      <c r="L27" s="509"/>
      <c r="M27" s="340">
        <f>SUM(M3:M26)</f>
        <v>653</v>
      </c>
      <c r="N27" s="509">
        <f>SUM(N3:N26)</f>
        <v>43907</v>
      </c>
      <c r="O27" s="510" t="s">
        <v>4</v>
      </c>
      <c r="P27" s="509"/>
      <c r="Q27" s="509">
        <f>SUM(Q3:Q26)</f>
        <v>8387</v>
      </c>
      <c r="R27" s="509"/>
      <c r="S27" s="509"/>
      <c r="T27" s="508">
        <f>SUM(T3:T26)</f>
        <v>2666549.5</v>
      </c>
      <c r="U27" s="509">
        <f>SUM(U3:U26)</f>
        <v>8540</v>
      </c>
      <c r="V27" s="445">
        <f>SUM(V3:V26)</f>
        <v>43907</v>
      </c>
      <c r="W27" s="509"/>
      <c r="X27" s="509">
        <f>SUM(X3:X26)</f>
        <v>2519854.5045405556</v>
      </c>
      <c r="Y27" s="508">
        <f>SUM(Y3:Y26)</f>
        <v>5186404.0045405561</v>
      </c>
      <c r="Z27" s="509"/>
      <c r="AA27" s="340">
        <f>SUM(AA3:AA26)</f>
        <v>653</v>
      </c>
      <c r="AB27" s="507">
        <f>SUM(AB3:AB26)</f>
        <v>270</v>
      </c>
      <c r="AE27" s="461" t="s">
        <v>4</v>
      </c>
      <c r="AF27" s="462"/>
      <c r="AG27" s="463">
        <f>SUM(AG3:AG26)</f>
        <v>653</v>
      </c>
      <c r="AH27" s="462">
        <f t="shared" si="0"/>
        <v>279.56666666666666</v>
      </c>
      <c r="AI27" s="463">
        <f t="shared" si="3"/>
        <v>373.43333333333334</v>
      </c>
    </row>
    <row r="28" spans="1:35">
      <c r="A28" s="1"/>
      <c r="B28" s="511" t="s">
        <v>327</v>
      </c>
      <c r="C28" s="511">
        <v>904</v>
      </c>
      <c r="D28" s="195">
        <v>1.8</v>
      </c>
      <c r="E28" s="509">
        <v>281</v>
      </c>
      <c r="F28" s="644" t="s">
        <v>233</v>
      </c>
      <c r="G28" s="645"/>
      <c r="H28" s="27">
        <f>K27+K28</f>
        <v>16455703.367695689</v>
      </c>
      <c r="I28" s="644" t="s">
        <v>232</v>
      </c>
      <c r="J28" s="645"/>
      <c r="K28" s="2">
        <f>K27*1%</f>
        <v>162927.7561157989</v>
      </c>
      <c r="L28" s="1"/>
      <c r="O28" s="1"/>
      <c r="P28" s="1"/>
      <c r="Q28" s="1"/>
      <c r="R28" s="1"/>
      <c r="S28" s="1"/>
      <c r="T28" s="558" t="s">
        <v>233</v>
      </c>
      <c r="U28" s="558"/>
      <c r="V28" s="27">
        <f>Y27+Y28</f>
        <v>5238268.0445859618</v>
      </c>
      <c r="W28" s="558" t="s">
        <v>232</v>
      </c>
      <c r="X28" s="558"/>
      <c r="Y28" s="2">
        <f>Y27*1%</f>
        <v>51864.040045405563</v>
      </c>
      <c r="Z28" s="1"/>
      <c r="AB28" s="467"/>
    </row>
    <row r="29" spans="1:35">
      <c r="B29" s="511" t="s">
        <v>150</v>
      </c>
      <c r="C29" s="511">
        <v>520</v>
      </c>
      <c r="D29" s="195">
        <v>1.8</v>
      </c>
      <c r="E29" s="509">
        <v>281</v>
      </c>
    </row>
    <row r="30" spans="1:35">
      <c r="B30" s="511" t="s">
        <v>244</v>
      </c>
      <c r="C30" s="511">
        <v>558</v>
      </c>
      <c r="D30" s="195">
        <v>1.8</v>
      </c>
      <c r="E30" s="509">
        <v>281</v>
      </c>
    </row>
    <row r="31" spans="1:35">
      <c r="B31" s="511" t="s">
        <v>95</v>
      </c>
      <c r="C31" s="511">
        <v>1539</v>
      </c>
      <c r="D31" s="195">
        <v>0.68</v>
      </c>
      <c r="E31" s="509">
        <v>281</v>
      </c>
    </row>
    <row r="32" spans="1:35">
      <c r="B32" s="511" t="s">
        <v>96</v>
      </c>
      <c r="C32" s="511">
        <v>794</v>
      </c>
      <c r="D32" s="195">
        <v>0.68</v>
      </c>
      <c r="E32" s="509">
        <v>281</v>
      </c>
    </row>
    <row r="33" spans="2:5">
      <c r="B33" s="511" t="s">
        <v>272</v>
      </c>
      <c r="C33" s="511">
        <v>840</v>
      </c>
      <c r="D33" s="195">
        <v>0.68</v>
      </c>
      <c r="E33" s="509">
        <v>281</v>
      </c>
    </row>
    <row r="34" spans="2:5">
      <c r="B34" s="511" t="s">
        <v>270</v>
      </c>
      <c r="C34" s="511">
        <v>1004</v>
      </c>
      <c r="D34" s="195">
        <v>0.89</v>
      </c>
      <c r="E34" s="509">
        <v>281</v>
      </c>
    </row>
    <row r="35" spans="2:5">
      <c r="B35" s="487" t="s">
        <v>379</v>
      </c>
      <c r="C35" s="512">
        <v>19194</v>
      </c>
      <c r="D35" s="201">
        <v>0.27</v>
      </c>
      <c r="E35" s="509">
        <v>281</v>
      </c>
    </row>
    <row r="36" spans="2:5">
      <c r="B36" s="487" t="s">
        <v>380</v>
      </c>
      <c r="C36" s="512">
        <v>9597</v>
      </c>
      <c r="D36" s="201">
        <v>0.25</v>
      </c>
      <c r="E36" s="509">
        <v>281</v>
      </c>
    </row>
    <row r="37" spans="2:5">
      <c r="B37" s="487" t="s">
        <v>393</v>
      </c>
      <c r="C37" s="512">
        <v>6855</v>
      </c>
      <c r="D37" s="201">
        <v>0.27</v>
      </c>
      <c r="E37" s="509">
        <v>281</v>
      </c>
    </row>
    <row r="38" spans="2:5">
      <c r="B38" s="487" t="s">
        <v>370</v>
      </c>
      <c r="C38" s="512">
        <v>4113</v>
      </c>
      <c r="D38" s="201">
        <v>0.27</v>
      </c>
      <c r="E38" s="509">
        <v>281</v>
      </c>
    </row>
    <row r="39" spans="2:5">
      <c r="B39" s="487" t="s">
        <v>372</v>
      </c>
      <c r="C39" s="512">
        <v>5484</v>
      </c>
      <c r="D39" s="201">
        <v>0.27</v>
      </c>
      <c r="E39" s="509">
        <v>281</v>
      </c>
    </row>
    <row r="40" spans="2:5">
      <c r="B40" s="487" t="s">
        <v>394</v>
      </c>
      <c r="C40" s="512">
        <v>2742</v>
      </c>
      <c r="D40" s="201">
        <v>0.25</v>
      </c>
      <c r="E40" s="509">
        <v>281</v>
      </c>
    </row>
    <row r="41" spans="2:5">
      <c r="B41" s="487" t="s">
        <v>354</v>
      </c>
      <c r="C41" s="512">
        <v>4113</v>
      </c>
      <c r="D41" s="201">
        <v>0.25</v>
      </c>
      <c r="E41" s="509">
        <v>281</v>
      </c>
    </row>
    <row r="42" spans="2:5">
      <c r="B42" s="487" t="s">
        <v>395</v>
      </c>
      <c r="C42" s="511">
        <v>4113</v>
      </c>
      <c r="D42" s="201">
        <v>0.27</v>
      </c>
      <c r="E42" s="509">
        <v>281</v>
      </c>
    </row>
    <row r="43" spans="2:5">
      <c r="B43" s="487" t="s">
        <v>379</v>
      </c>
      <c r="C43" s="512">
        <v>823</v>
      </c>
      <c r="D43" s="201">
        <v>0.27</v>
      </c>
      <c r="E43" s="509">
        <v>281</v>
      </c>
    </row>
    <row r="44" spans="2:5">
      <c r="B44" s="487" t="s">
        <v>380</v>
      </c>
      <c r="C44" s="512">
        <v>411</v>
      </c>
      <c r="D44" s="201">
        <v>0.25</v>
      </c>
      <c r="E44" s="509">
        <v>281</v>
      </c>
    </row>
    <row r="45" spans="2:5">
      <c r="B45" s="487" t="s">
        <v>393</v>
      </c>
      <c r="C45" s="512">
        <v>137</v>
      </c>
      <c r="D45" s="201">
        <v>0.27</v>
      </c>
      <c r="E45" s="509">
        <v>281</v>
      </c>
    </row>
    <row r="46" spans="2:5">
      <c r="B46" s="487" t="s">
        <v>370</v>
      </c>
      <c r="C46" s="512">
        <v>855</v>
      </c>
      <c r="D46" s="201">
        <v>0.27</v>
      </c>
      <c r="E46" s="509">
        <v>281</v>
      </c>
    </row>
    <row r="47" spans="2:5">
      <c r="B47" s="487" t="s">
        <v>372</v>
      </c>
      <c r="C47" s="512">
        <v>503</v>
      </c>
      <c r="D47" s="201">
        <v>0.27</v>
      </c>
      <c r="E47" s="509">
        <v>281</v>
      </c>
    </row>
    <row r="48" spans="2:5">
      <c r="B48" s="487" t="s">
        <v>354</v>
      </c>
      <c r="C48" s="512">
        <v>868</v>
      </c>
      <c r="D48" s="201">
        <v>0.25</v>
      </c>
      <c r="E48" s="509">
        <v>281</v>
      </c>
    </row>
    <row r="49" spans="2:5">
      <c r="B49" s="487" t="s">
        <v>394</v>
      </c>
      <c r="C49" s="512">
        <v>1280</v>
      </c>
      <c r="D49" s="201">
        <v>0.25</v>
      </c>
      <c r="E49" s="509">
        <v>281</v>
      </c>
    </row>
    <row r="50" spans="2:5">
      <c r="B50" s="487" t="s">
        <v>395</v>
      </c>
      <c r="C50" s="511">
        <v>868</v>
      </c>
      <c r="D50" s="201">
        <v>0.27</v>
      </c>
      <c r="E50" s="509">
        <v>281</v>
      </c>
    </row>
    <row r="51" spans="2:5">
      <c r="C51" s="509">
        <f>SUM(C3:C50)</f>
        <v>101010</v>
      </c>
    </row>
  </sheetData>
  <mergeCells count="82">
    <mergeCell ref="X18:X21"/>
    <mergeCell ref="W18:W21"/>
    <mergeCell ref="V18:V21"/>
    <mergeCell ref="U18:U21"/>
    <mergeCell ref="O18:O21"/>
    <mergeCell ref="AE1:AH1"/>
    <mergeCell ref="O1:X1"/>
    <mergeCell ref="Z22:Z26"/>
    <mergeCell ref="AE22:AE26"/>
    <mergeCell ref="F28:G28"/>
    <mergeCell ref="I28:J28"/>
    <mergeCell ref="T28:U28"/>
    <mergeCell ref="W28:X28"/>
    <mergeCell ref="O22:O26"/>
    <mergeCell ref="U22:U26"/>
    <mergeCell ref="V22:V26"/>
    <mergeCell ref="W22:W26"/>
    <mergeCell ref="X22:X26"/>
    <mergeCell ref="Y22:Y26"/>
    <mergeCell ref="Y18:Y21"/>
    <mergeCell ref="Z18:Z21"/>
    <mergeCell ref="AE18:AE21"/>
    <mergeCell ref="A22:A26"/>
    <mergeCell ref="G22:G26"/>
    <mergeCell ref="H22:H26"/>
    <mergeCell ref="I22:I26"/>
    <mergeCell ref="J22:J26"/>
    <mergeCell ref="K22:K26"/>
    <mergeCell ref="L22:L26"/>
    <mergeCell ref="L18:L21"/>
    <mergeCell ref="A18:A21"/>
    <mergeCell ref="G18:G21"/>
    <mergeCell ref="H18:H21"/>
    <mergeCell ref="I18:I21"/>
    <mergeCell ref="J18:J21"/>
    <mergeCell ref="K18:K21"/>
    <mergeCell ref="V14:V17"/>
    <mergeCell ref="W14:W17"/>
    <mergeCell ref="X14:X17"/>
    <mergeCell ref="Y14:Y17"/>
    <mergeCell ref="Z14:Z17"/>
    <mergeCell ref="AE14:AE17"/>
    <mergeCell ref="AE6:AE13"/>
    <mergeCell ref="A14:A17"/>
    <mergeCell ref="G14:G17"/>
    <mergeCell ref="H14:H17"/>
    <mergeCell ref="I14:I17"/>
    <mergeCell ref="J14:J17"/>
    <mergeCell ref="K14:K17"/>
    <mergeCell ref="L14:L17"/>
    <mergeCell ref="O14:O17"/>
    <mergeCell ref="U14:U17"/>
    <mergeCell ref="U6:U13"/>
    <mergeCell ref="V6:V13"/>
    <mergeCell ref="W6:W13"/>
    <mergeCell ref="X6:X13"/>
    <mergeCell ref="Y6:Y13"/>
    <mergeCell ref="Z6:Z13"/>
    <mergeCell ref="Z3:Z4"/>
    <mergeCell ref="AE3:AE4"/>
    <mergeCell ref="A6:A13"/>
    <mergeCell ref="G6:G13"/>
    <mergeCell ref="H6:H13"/>
    <mergeCell ref="I6:I13"/>
    <mergeCell ref="J6:J13"/>
    <mergeCell ref="K6:K13"/>
    <mergeCell ref="L6:L13"/>
    <mergeCell ref="O6:O13"/>
    <mergeCell ref="O3:O4"/>
    <mergeCell ref="U3:U4"/>
    <mergeCell ref="V3:V4"/>
    <mergeCell ref="W3:W4"/>
    <mergeCell ref="X3:X4"/>
    <mergeCell ref="Y3:Y4"/>
    <mergeCell ref="A1:J1"/>
    <mergeCell ref="A3:A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C1" workbookViewId="0">
      <selection activeCell="M1" sqref="M1:W17"/>
    </sheetView>
  </sheetViews>
  <sheetFormatPr defaultRowHeight="15"/>
  <cols>
    <col min="1" max="1" width="8.85546875" customWidth="1"/>
    <col min="2" max="2" width="6.28515625" customWidth="1"/>
    <col min="3" max="3" width="5.5703125" customWidth="1"/>
    <col min="4" max="4" width="6.28515625" customWidth="1"/>
    <col min="7" max="7" width="8.42578125" customWidth="1"/>
    <col min="13" max="13" width="9.140625" customWidth="1"/>
    <col min="14" max="14" width="7.140625" customWidth="1"/>
    <col min="15" max="16" width="6.42578125" customWidth="1"/>
    <col min="23" max="23" width="8.7109375" customWidth="1"/>
  </cols>
  <sheetData>
    <row r="1" spans="1:23" ht="15" customHeight="1">
      <c r="A1" s="517" t="s">
        <v>64</v>
      </c>
      <c r="B1" s="517"/>
      <c r="C1" s="517"/>
      <c r="D1" s="517"/>
      <c r="E1" s="517"/>
      <c r="F1" s="517"/>
      <c r="G1" s="517"/>
      <c r="H1" s="517"/>
      <c r="I1" s="30"/>
      <c r="J1" s="30"/>
      <c r="K1" s="30"/>
      <c r="M1" s="517" t="s">
        <v>65</v>
      </c>
      <c r="N1" s="517"/>
      <c r="O1" s="517"/>
      <c r="P1" s="517"/>
      <c r="Q1" s="517"/>
      <c r="R1" s="517"/>
      <c r="S1" s="517"/>
      <c r="T1" s="517"/>
      <c r="U1" s="30"/>
      <c r="V1" s="30"/>
      <c r="W1" s="30"/>
    </row>
    <row r="2" spans="1:23" ht="15" customHeight="1">
      <c r="A2" s="518"/>
      <c r="B2" s="518"/>
      <c r="C2" s="518"/>
      <c r="D2" s="518"/>
      <c r="E2" s="518"/>
      <c r="F2" s="518"/>
      <c r="G2" s="518"/>
      <c r="H2" s="518"/>
      <c r="I2" s="31"/>
      <c r="J2" s="31" t="s">
        <v>66</v>
      </c>
      <c r="K2" s="32">
        <v>44464</v>
      </c>
      <c r="M2" s="518"/>
      <c r="N2" s="518"/>
      <c r="O2" s="518"/>
      <c r="P2" s="518"/>
      <c r="Q2" s="518"/>
      <c r="R2" s="518"/>
      <c r="S2" s="518"/>
      <c r="T2" s="518"/>
      <c r="U2" s="31"/>
      <c r="V2" s="31" t="s">
        <v>66</v>
      </c>
      <c r="W2" s="33">
        <v>44464</v>
      </c>
    </row>
    <row r="3" spans="1:23" ht="31.5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6" t="s">
        <v>7</v>
      </c>
      <c r="I3" s="5" t="s">
        <v>8</v>
      </c>
      <c r="J3" s="6" t="s">
        <v>9</v>
      </c>
      <c r="K3" s="6" t="s">
        <v>10</v>
      </c>
      <c r="M3" s="5" t="s">
        <v>0</v>
      </c>
      <c r="N3" s="6" t="s">
        <v>1</v>
      </c>
      <c r="O3" s="5" t="s">
        <v>2</v>
      </c>
      <c r="P3" s="5" t="s">
        <v>3</v>
      </c>
      <c r="Q3" s="5" t="s">
        <v>4</v>
      </c>
      <c r="R3" s="6" t="s">
        <v>5</v>
      </c>
      <c r="S3" s="5" t="s">
        <v>6</v>
      </c>
      <c r="T3" s="6" t="s">
        <v>7</v>
      </c>
      <c r="U3" s="5" t="s">
        <v>8</v>
      </c>
      <c r="V3" s="6" t="s">
        <v>9</v>
      </c>
      <c r="W3" s="6" t="s">
        <v>10</v>
      </c>
    </row>
    <row r="4" spans="1:23">
      <c r="A4" s="2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M4" s="2" t="s">
        <v>17</v>
      </c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11</v>
      </c>
      <c r="B5" s="1">
        <v>480</v>
      </c>
      <c r="C5" s="1">
        <v>2.0299999999999998</v>
      </c>
      <c r="D5" s="1">
        <v>171</v>
      </c>
      <c r="E5" s="1">
        <f>B5*C5*D5</f>
        <v>166622.39999999997</v>
      </c>
      <c r="F5" s="1">
        <v>400</v>
      </c>
      <c r="G5" s="1">
        <v>1080</v>
      </c>
      <c r="H5" s="1">
        <v>667.69</v>
      </c>
      <c r="I5" s="7">
        <f>F5/G5*B5*H5</f>
        <v>118700.44444444445</v>
      </c>
      <c r="J5" s="7">
        <f>I5+E5</f>
        <v>285322.8444444444</v>
      </c>
      <c r="K5" s="7">
        <f>J5/B5</f>
        <v>594.42259259259254</v>
      </c>
      <c r="M5" s="1" t="s">
        <v>11</v>
      </c>
      <c r="N5" s="1">
        <v>600</v>
      </c>
      <c r="O5" s="1">
        <v>2.0299999999999998</v>
      </c>
      <c r="P5" s="1">
        <v>171</v>
      </c>
      <c r="Q5" s="1">
        <f>N5*O5*P5</f>
        <v>208277.99999999997</v>
      </c>
      <c r="R5" s="1">
        <v>400</v>
      </c>
      <c r="S5" s="1">
        <v>1080</v>
      </c>
      <c r="T5" s="1">
        <v>667.69</v>
      </c>
      <c r="U5" s="7">
        <f>R5/S5*N5*T5</f>
        <v>148375.55555555556</v>
      </c>
      <c r="V5" s="7">
        <f>U5+Q5</f>
        <v>356653.5555555555</v>
      </c>
      <c r="W5" s="7">
        <f>V5/N5</f>
        <v>594.42259259259254</v>
      </c>
    </row>
    <row r="6" spans="1:23">
      <c r="A6" s="1" t="s">
        <v>12</v>
      </c>
      <c r="B6" s="1">
        <v>510</v>
      </c>
      <c r="C6" s="1">
        <v>2.0299999999999998</v>
      </c>
      <c r="D6" s="1">
        <v>171</v>
      </c>
      <c r="E6" s="1">
        <f t="shared" ref="E6:E12" si="0">B6*C6*D6</f>
        <v>177036.3</v>
      </c>
      <c r="F6" s="1">
        <v>451</v>
      </c>
      <c r="G6" s="1">
        <v>1230</v>
      </c>
      <c r="H6" s="1">
        <v>667.69</v>
      </c>
      <c r="I6" s="7">
        <f t="shared" ref="I6:I12" si="1">F6/G6*B6*H6</f>
        <v>124858.03000000001</v>
      </c>
      <c r="J6" s="7">
        <f t="shared" ref="J6:J16" si="2">I6+E6</f>
        <v>301894.33</v>
      </c>
      <c r="K6" s="7">
        <f t="shared" ref="K6:K12" si="3">J6/B6</f>
        <v>591.94966666666664</v>
      </c>
      <c r="M6" s="1" t="s">
        <v>12</v>
      </c>
      <c r="N6" s="1">
        <v>720</v>
      </c>
      <c r="O6" s="1">
        <v>2.0299999999999998</v>
      </c>
      <c r="P6" s="1">
        <v>171</v>
      </c>
      <c r="Q6" s="1">
        <f t="shared" ref="Q6:Q9" si="4">N6*O6*P6</f>
        <v>249933.59999999998</v>
      </c>
      <c r="R6" s="1">
        <v>451</v>
      </c>
      <c r="S6" s="1">
        <v>1230</v>
      </c>
      <c r="T6" s="1">
        <v>667.69</v>
      </c>
      <c r="U6" s="7">
        <f t="shared" ref="U6:U9" si="5">R6/S6*N6*T6</f>
        <v>176270.16</v>
      </c>
      <c r="V6" s="7">
        <f t="shared" ref="V6:V9" si="6">U6+Q6</f>
        <v>426203.76</v>
      </c>
      <c r="W6" s="7">
        <f t="shared" ref="W6:W9" si="7">V6/N6</f>
        <v>591.94966666666664</v>
      </c>
    </row>
    <row r="7" spans="1:23">
      <c r="A7" s="1" t="s">
        <v>13</v>
      </c>
      <c r="B7" s="1">
        <v>600</v>
      </c>
      <c r="C7" s="1">
        <v>2.0299999999999998</v>
      </c>
      <c r="D7" s="1">
        <v>171</v>
      </c>
      <c r="E7" s="1">
        <f t="shared" si="0"/>
        <v>208277.99999999997</v>
      </c>
      <c r="F7" s="1">
        <v>526</v>
      </c>
      <c r="G7" s="1">
        <v>1410</v>
      </c>
      <c r="H7" s="1">
        <v>667.69</v>
      </c>
      <c r="I7" s="7">
        <f t="shared" si="1"/>
        <v>149448.91063829788</v>
      </c>
      <c r="J7" s="7">
        <f t="shared" si="2"/>
        <v>357726.91063829785</v>
      </c>
      <c r="K7" s="7">
        <f t="shared" si="3"/>
        <v>596.21151773049644</v>
      </c>
      <c r="M7" s="1" t="s">
        <v>13</v>
      </c>
      <c r="N7" s="1">
        <v>810</v>
      </c>
      <c r="O7" s="1">
        <v>2.0299999999999998</v>
      </c>
      <c r="P7" s="1">
        <v>171</v>
      </c>
      <c r="Q7" s="1">
        <f t="shared" si="4"/>
        <v>281175.3</v>
      </c>
      <c r="R7" s="1">
        <v>526</v>
      </c>
      <c r="S7" s="1">
        <v>1410</v>
      </c>
      <c r="T7" s="1">
        <v>667.69</v>
      </c>
      <c r="U7" s="7">
        <f t="shared" si="5"/>
        <v>201756.02936170215</v>
      </c>
      <c r="V7" s="7">
        <f t="shared" si="6"/>
        <v>482931.32936170214</v>
      </c>
      <c r="W7" s="7">
        <f t="shared" si="7"/>
        <v>596.21151773049644</v>
      </c>
    </row>
    <row r="8" spans="1:23">
      <c r="A8" s="1" t="s">
        <v>24</v>
      </c>
      <c r="B8" s="1">
        <v>450</v>
      </c>
      <c r="C8" s="1">
        <v>2.0299999999999998</v>
      </c>
      <c r="D8" s="1">
        <v>171</v>
      </c>
      <c r="E8" s="1">
        <f t="shared" si="0"/>
        <v>156208.49999999997</v>
      </c>
      <c r="F8" s="1">
        <v>362</v>
      </c>
      <c r="G8" s="1">
        <v>1057</v>
      </c>
      <c r="H8" s="1">
        <v>667.69</v>
      </c>
      <c r="I8" s="7">
        <f t="shared" si="1"/>
        <v>102901.32544938505</v>
      </c>
      <c r="J8" s="7">
        <f t="shared" si="2"/>
        <v>259109.82544938504</v>
      </c>
      <c r="K8" s="7">
        <f t="shared" si="3"/>
        <v>575.79961210974454</v>
      </c>
      <c r="M8" s="1" t="s">
        <v>24</v>
      </c>
      <c r="N8" s="1">
        <v>610</v>
      </c>
      <c r="O8" s="1">
        <v>2.0299999999999998</v>
      </c>
      <c r="P8" s="1">
        <v>171</v>
      </c>
      <c r="Q8" s="1">
        <f t="shared" si="4"/>
        <v>211749.3</v>
      </c>
      <c r="R8" s="1">
        <v>362</v>
      </c>
      <c r="S8" s="1">
        <v>1057</v>
      </c>
      <c r="T8" s="1">
        <v>667.69</v>
      </c>
      <c r="U8" s="7">
        <f t="shared" si="5"/>
        <v>139488.46338694417</v>
      </c>
      <c r="V8" s="7">
        <f t="shared" si="6"/>
        <v>351237.76338694419</v>
      </c>
      <c r="W8" s="7">
        <f t="shared" si="7"/>
        <v>575.79961210974454</v>
      </c>
    </row>
    <row r="9" spans="1:23">
      <c r="A9" s="1" t="s">
        <v>19</v>
      </c>
      <c r="B9" s="1">
        <v>600</v>
      </c>
      <c r="C9" s="1">
        <v>2.0299999999999998</v>
      </c>
      <c r="D9" s="1">
        <v>171</v>
      </c>
      <c r="E9" s="1">
        <f t="shared" si="0"/>
        <v>208277.99999999997</v>
      </c>
      <c r="F9" s="1">
        <v>559</v>
      </c>
      <c r="G9" s="1">
        <v>1406</v>
      </c>
      <c r="H9" s="1">
        <v>667.69</v>
      </c>
      <c r="I9" s="7">
        <f t="shared" si="1"/>
        <v>159276.83214793744</v>
      </c>
      <c r="J9" s="7">
        <f t="shared" si="2"/>
        <v>367554.83214793738</v>
      </c>
      <c r="K9" s="7">
        <f t="shared" si="3"/>
        <v>612.59138691322903</v>
      </c>
      <c r="M9" s="1" t="s">
        <v>19</v>
      </c>
      <c r="N9" s="1">
        <v>806</v>
      </c>
      <c r="O9" s="1">
        <v>2.0299999999999998</v>
      </c>
      <c r="P9" s="1">
        <v>171</v>
      </c>
      <c r="Q9" s="1">
        <f t="shared" si="4"/>
        <v>279786.77999999997</v>
      </c>
      <c r="R9" s="1">
        <v>559</v>
      </c>
      <c r="S9" s="1">
        <v>1406</v>
      </c>
      <c r="T9" s="1">
        <v>667.69</v>
      </c>
      <c r="U9" s="7">
        <f t="shared" si="5"/>
        <v>213961.87785206264</v>
      </c>
      <c r="V9" s="7">
        <f t="shared" si="6"/>
        <v>493748.65785206261</v>
      </c>
      <c r="W9" s="7">
        <f t="shared" si="7"/>
        <v>612.59138691322903</v>
      </c>
    </row>
    <row r="10" spans="1:23">
      <c r="A10" s="1" t="s">
        <v>15</v>
      </c>
      <c r="B10" s="1">
        <v>90</v>
      </c>
      <c r="C10" s="1">
        <v>2.0299999999999998</v>
      </c>
      <c r="D10" s="1">
        <v>171</v>
      </c>
      <c r="E10" s="1">
        <f t="shared" si="0"/>
        <v>31241.699999999997</v>
      </c>
      <c r="F10" s="1">
        <v>50</v>
      </c>
      <c r="G10" s="1">
        <v>90</v>
      </c>
      <c r="H10" s="1">
        <v>667.69</v>
      </c>
      <c r="I10" s="7">
        <f>F10/G10*B10*H10</f>
        <v>33384.5</v>
      </c>
      <c r="J10" s="7">
        <f>K10*G10</f>
        <v>52200</v>
      </c>
      <c r="K10" s="7">
        <v>580</v>
      </c>
      <c r="M10" s="1" t="s">
        <v>49</v>
      </c>
      <c r="N10" s="1">
        <v>603</v>
      </c>
      <c r="O10" s="1">
        <v>2.0299999999999998</v>
      </c>
      <c r="P10" s="1">
        <v>171</v>
      </c>
      <c r="Q10" s="1">
        <f>N10*O10*P10</f>
        <v>209319.38999999998</v>
      </c>
      <c r="R10" s="1">
        <v>398</v>
      </c>
      <c r="S10" s="1">
        <v>963</v>
      </c>
      <c r="T10" s="1">
        <v>667.69</v>
      </c>
      <c r="U10" s="7">
        <f>R10/S10*N10*T10</f>
        <v>166398.33214953274</v>
      </c>
      <c r="V10" s="7">
        <f>U10+Q10</f>
        <v>375717.72214953275</v>
      </c>
      <c r="W10" s="7">
        <f>V10/N10</f>
        <v>623.08079958463145</v>
      </c>
    </row>
    <row r="11" spans="1:23">
      <c r="A11" s="1" t="s">
        <v>18</v>
      </c>
      <c r="B11" s="1">
        <v>120</v>
      </c>
      <c r="C11" s="1">
        <v>2.0299999999999998</v>
      </c>
      <c r="D11" s="1">
        <v>171</v>
      </c>
      <c r="E11" s="1">
        <f t="shared" si="0"/>
        <v>41655.599999999991</v>
      </c>
      <c r="F11" s="1">
        <v>100</v>
      </c>
      <c r="G11" s="1">
        <v>120</v>
      </c>
      <c r="H11" s="1">
        <v>667.69</v>
      </c>
      <c r="I11" s="7">
        <f t="shared" si="1"/>
        <v>66769</v>
      </c>
      <c r="J11" s="7">
        <f>K11*G11</f>
        <v>69600</v>
      </c>
      <c r="K11" s="7">
        <v>580</v>
      </c>
      <c r="M11" s="1"/>
      <c r="N11" s="1"/>
      <c r="O11" s="1"/>
      <c r="P11" s="1"/>
      <c r="Q11" s="1"/>
      <c r="R11" s="1"/>
      <c r="S11" s="1"/>
      <c r="T11" s="1"/>
      <c r="U11" s="7"/>
      <c r="V11" s="7"/>
      <c r="W11" s="7"/>
    </row>
    <row r="12" spans="1:23">
      <c r="A12" s="1" t="s">
        <v>49</v>
      </c>
      <c r="B12" s="1">
        <v>360</v>
      </c>
      <c r="C12" s="1">
        <v>2.0299999999999998</v>
      </c>
      <c r="D12" s="1">
        <v>171</v>
      </c>
      <c r="E12" s="1">
        <f t="shared" si="0"/>
        <v>124966.79999999999</v>
      </c>
      <c r="F12" s="1">
        <v>398</v>
      </c>
      <c r="G12" s="1">
        <v>963</v>
      </c>
      <c r="H12" s="1">
        <v>667.69</v>
      </c>
      <c r="I12" s="7">
        <f t="shared" si="1"/>
        <v>99342.287850467299</v>
      </c>
      <c r="J12" s="7">
        <f t="shared" si="2"/>
        <v>224309.0878504673</v>
      </c>
      <c r="K12" s="7">
        <f t="shared" si="3"/>
        <v>623.08079958463145</v>
      </c>
    </row>
    <row r="13" spans="1:23">
      <c r="A13" s="1"/>
      <c r="B13" s="1"/>
      <c r="C13" s="1"/>
      <c r="D13" s="1"/>
      <c r="E13" s="1"/>
      <c r="F13" s="1"/>
      <c r="G13" s="1"/>
      <c r="H13" s="1"/>
      <c r="I13" s="7"/>
      <c r="J13" s="7"/>
      <c r="K13" s="7"/>
      <c r="M13" s="1"/>
      <c r="N13" s="1"/>
      <c r="O13" s="1"/>
      <c r="P13" s="1"/>
      <c r="Q13" s="1"/>
      <c r="R13" s="1"/>
      <c r="S13" s="1"/>
      <c r="T13" s="1"/>
      <c r="U13" s="7"/>
      <c r="V13" s="7"/>
      <c r="W13" s="7"/>
    </row>
    <row r="14" spans="1:23">
      <c r="A14" s="2" t="s">
        <v>16</v>
      </c>
      <c r="B14" s="1"/>
      <c r="C14" s="1"/>
      <c r="D14" s="1"/>
      <c r="E14" s="1"/>
      <c r="F14" s="1"/>
      <c r="G14" s="1"/>
      <c r="H14" s="1"/>
      <c r="I14" s="7"/>
      <c r="J14" s="7"/>
      <c r="K14" s="7"/>
      <c r="M14" s="2" t="s">
        <v>16</v>
      </c>
      <c r="N14" s="1"/>
      <c r="O14" s="1"/>
      <c r="P14" s="1"/>
      <c r="Q14" s="1"/>
      <c r="R14" s="1"/>
      <c r="S14" s="1"/>
      <c r="T14" s="1"/>
      <c r="U14" s="7"/>
      <c r="V14" s="7"/>
      <c r="W14" s="7"/>
    </row>
    <row r="15" spans="1:23">
      <c r="A15" s="1" t="s">
        <v>11</v>
      </c>
      <c r="B15" s="1">
        <v>360</v>
      </c>
      <c r="C15" s="1">
        <v>2.0299999999999998</v>
      </c>
      <c r="D15" s="1">
        <v>171</v>
      </c>
      <c r="E15" s="1">
        <f>B15*C15*D15</f>
        <v>124966.79999999999</v>
      </c>
      <c r="F15" s="1">
        <v>392</v>
      </c>
      <c r="G15" s="1">
        <v>865</v>
      </c>
      <c r="H15" s="1">
        <v>667.69</v>
      </c>
      <c r="I15" s="7">
        <f>F15/G15*B15*H15</f>
        <v>108929.95699421965</v>
      </c>
      <c r="J15" s="7">
        <f t="shared" si="2"/>
        <v>233896.75699421964</v>
      </c>
      <c r="K15" s="7">
        <f>J15/B15</f>
        <v>649.71321387283228</v>
      </c>
      <c r="M15" s="1" t="s">
        <v>11</v>
      </c>
      <c r="N15" s="1">
        <v>505</v>
      </c>
      <c r="O15" s="1">
        <v>2.0299999999999998</v>
      </c>
      <c r="P15" s="1">
        <v>171</v>
      </c>
      <c r="Q15" s="1">
        <f>N15*O15*P15</f>
        <v>175300.64999999997</v>
      </c>
      <c r="R15" s="1">
        <v>392</v>
      </c>
      <c r="S15" s="1">
        <v>865</v>
      </c>
      <c r="T15" s="1">
        <v>667.69</v>
      </c>
      <c r="U15" s="7">
        <f>R15/S15*N15*T15</f>
        <v>152804.52300578036</v>
      </c>
      <c r="V15" s="7">
        <f t="shared" ref="V15:V16" si="8">U15+Q15</f>
        <v>328105.17300578032</v>
      </c>
      <c r="W15" s="7">
        <f>V15/N15</f>
        <v>649.71321387283228</v>
      </c>
    </row>
    <row r="16" spans="1:23">
      <c r="A16" s="1" t="s">
        <v>15</v>
      </c>
      <c r="B16" s="1">
        <v>510</v>
      </c>
      <c r="C16" s="1">
        <v>2.0299999999999998</v>
      </c>
      <c r="D16" s="1">
        <v>171</v>
      </c>
      <c r="E16" s="1">
        <f t="shared" ref="E16" si="9">B16*C16*D16</f>
        <v>177036.3</v>
      </c>
      <c r="F16" s="1">
        <v>468</v>
      </c>
      <c r="G16" s="1">
        <v>1106</v>
      </c>
      <c r="H16" s="1">
        <v>667.69</v>
      </c>
      <c r="I16" s="7">
        <f>F16/G16*B16*H16</f>
        <v>144090.64122965644</v>
      </c>
      <c r="J16" s="7">
        <f t="shared" si="2"/>
        <v>321126.94122965646</v>
      </c>
      <c r="K16" s="7">
        <f>J16/B16</f>
        <v>629.6606690777578</v>
      </c>
      <c r="M16" s="1" t="s">
        <v>15</v>
      </c>
      <c r="N16" s="1">
        <v>596</v>
      </c>
      <c r="O16" s="1">
        <v>2.0299999999999998</v>
      </c>
      <c r="P16" s="1">
        <v>171</v>
      </c>
      <c r="Q16" s="1">
        <f t="shared" ref="Q16" si="10">N16*O16*P16</f>
        <v>206889.47999999998</v>
      </c>
      <c r="R16" s="1">
        <v>468</v>
      </c>
      <c r="S16" s="1">
        <v>1106</v>
      </c>
      <c r="T16" s="1">
        <v>667.69</v>
      </c>
      <c r="U16" s="7">
        <f>R16/S16*N16*T16</f>
        <v>168388.2787703436</v>
      </c>
      <c r="V16" s="7">
        <f t="shared" si="8"/>
        <v>375277.75877034361</v>
      </c>
      <c r="W16" s="7">
        <f>V16/N16</f>
        <v>629.66066907775769</v>
      </c>
    </row>
    <row r="17" spans="1:23" ht="30">
      <c r="A17" s="3" t="s">
        <v>9</v>
      </c>
      <c r="B17" s="1">
        <f>SUM(B5:B16)</f>
        <v>4080</v>
      </c>
      <c r="C17" s="1"/>
      <c r="D17" s="1"/>
      <c r="E17" s="1">
        <f>SUM(E5:E16)</f>
        <v>1416290.4</v>
      </c>
      <c r="F17" s="1"/>
      <c r="G17" s="1">
        <f>SUM(G5:G16)</f>
        <v>9327</v>
      </c>
      <c r="H17" s="1"/>
      <c r="I17" s="3">
        <f>SUM(I5:I16)</f>
        <v>1107701.9287544081</v>
      </c>
      <c r="J17" s="2">
        <f>SUM(J5:J16)</f>
        <v>2472741.528754408</v>
      </c>
      <c r="K17" s="1"/>
      <c r="M17" s="3" t="s">
        <v>9</v>
      </c>
      <c r="N17" s="1">
        <f>SUM(N5:N16)</f>
        <v>5250</v>
      </c>
      <c r="O17" s="1"/>
      <c r="P17" s="1"/>
      <c r="Q17" s="1">
        <f>SUM(Q5:Q16)</f>
        <v>1822432.4999999998</v>
      </c>
      <c r="R17" s="1"/>
      <c r="S17" s="1">
        <f>SUM(S5:S16)</f>
        <v>9117</v>
      </c>
      <c r="T17" s="1"/>
      <c r="U17" s="3">
        <f>SUM(U5:U16)</f>
        <v>1367443.2200819212</v>
      </c>
      <c r="V17" s="2">
        <f>SUM(V5:V16)</f>
        <v>3189875.7200819207</v>
      </c>
      <c r="W17" s="1"/>
    </row>
  </sheetData>
  <mergeCells count="2">
    <mergeCell ref="M1:T2"/>
    <mergeCell ref="A1:H2"/>
  </mergeCells>
  <pageMargins left="0.61" right="0.35" top="0.42" bottom="0.75" header="0.98" footer="0.3"/>
  <pageSetup paperSize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5" zoomScale="98" zoomScaleNormal="98" workbookViewId="0">
      <selection activeCell="K5" sqref="K5"/>
    </sheetView>
  </sheetViews>
  <sheetFormatPr defaultRowHeight="15"/>
  <sheetData>
    <row r="1" spans="1:25" ht="33" customHeight="1">
      <c r="A1" s="519" t="s">
        <v>64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O1" s="519" t="s">
        <v>81</v>
      </c>
      <c r="P1" s="519"/>
      <c r="Q1" s="519"/>
      <c r="R1" s="519"/>
      <c r="S1" s="519"/>
      <c r="T1" s="519"/>
      <c r="U1" s="519"/>
      <c r="V1" s="519"/>
      <c r="W1" s="519"/>
      <c r="X1" s="519"/>
      <c r="Y1" s="519"/>
    </row>
    <row r="2" spans="1:25" ht="29.25" customHeight="1">
      <c r="A2" s="5" t="s">
        <v>0</v>
      </c>
      <c r="B2" s="5" t="s">
        <v>80</v>
      </c>
      <c r="C2" s="5" t="s">
        <v>2</v>
      </c>
      <c r="D2" s="5" t="s">
        <v>3</v>
      </c>
      <c r="E2" s="14" t="s">
        <v>4</v>
      </c>
      <c r="F2" s="6" t="s">
        <v>5</v>
      </c>
      <c r="G2" s="5" t="s">
        <v>6</v>
      </c>
      <c r="H2" s="6" t="s">
        <v>7</v>
      </c>
      <c r="I2" s="5" t="s">
        <v>8</v>
      </c>
      <c r="J2" s="18" t="s">
        <v>9</v>
      </c>
      <c r="K2" s="6" t="s">
        <v>10</v>
      </c>
      <c r="O2" s="5" t="s">
        <v>0</v>
      </c>
      <c r="P2" s="5" t="s">
        <v>1</v>
      </c>
      <c r="Q2" s="5" t="s">
        <v>2</v>
      </c>
      <c r="R2" s="5" t="s">
        <v>3</v>
      </c>
      <c r="S2" s="14" t="s">
        <v>4</v>
      </c>
      <c r="T2" s="6" t="s">
        <v>5</v>
      </c>
      <c r="U2" s="5" t="s">
        <v>6</v>
      </c>
      <c r="V2" s="6" t="s">
        <v>7</v>
      </c>
      <c r="W2" s="5" t="s">
        <v>8</v>
      </c>
      <c r="X2" s="18" t="s">
        <v>9</v>
      </c>
      <c r="Y2" s="6" t="s">
        <v>10</v>
      </c>
    </row>
    <row r="3" spans="1:25">
      <c r="A3" s="2" t="s">
        <v>46</v>
      </c>
      <c r="B3" s="26"/>
      <c r="C3" s="1"/>
      <c r="D3" s="1"/>
      <c r="E3" s="15"/>
      <c r="F3" s="1"/>
      <c r="G3" s="1"/>
      <c r="H3" s="1"/>
      <c r="I3" s="1"/>
      <c r="J3" s="19"/>
      <c r="K3" s="1"/>
      <c r="O3" s="2" t="s">
        <v>46</v>
      </c>
      <c r="P3" s="26"/>
      <c r="Q3" s="1"/>
      <c r="R3" s="1"/>
      <c r="S3" s="15"/>
      <c r="T3" s="1"/>
      <c r="U3" s="1"/>
      <c r="V3" s="1"/>
      <c r="W3" s="1"/>
      <c r="X3" s="19"/>
      <c r="Y3" s="1"/>
    </row>
    <row r="4" spans="1:25">
      <c r="A4" s="1" t="s">
        <v>47</v>
      </c>
      <c r="B4" s="26">
        <v>570</v>
      </c>
      <c r="C4" s="1">
        <v>0.79</v>
      </c>
      <c r="D4" s="1">
        <v>173.5</v>
      </c>
      <c r="E4" s="16">
        <f>B4*C4*D4</f>
        <v>78127.05</v>
      </c>
      <c r="F4" s="1">
        <v>402</v>
      </c>
      <c r="G4" s="1">
        <v>1176</v>
      </c>
      <c r="H4" s="1">
        <v>460</v>
      </c>
      <c r="I4" s="7">
        <f>F4/G4*B4*H4</f>
        <v>89629.591836734704</v>
      </c>
      <c r="J4" s="20">
        <f>I4+E4</f>
        <v>167756.64183673472</v>
      </c>
      <c r="K4" s="7">
        <f>J4/B4</f>
        <v>294.30989795918373</v>
      </c>
      <c r="O4" s="1" t="s">
        <v>47</v>
      </c>
      <c r="P4" s="26">
        <v>606</v>
      </c>
      <c r="Q4" s="1">
        <v>0.79</v>
      </c>
      <c r="R4" s="1">
        <v>173.5</v>
      </c>
      <c r="S4" s="16">
        <f>P4*Q4*R4</f>
        <v>83061.39</v>
      </c>
      <c r="T4" s="1">
        <v>402</v>
      </c>
      <c r="U4" s="1">
        <v>1176</v>
      </c>
      <c r="V4" s="1">
        <v>460</v>
      </c>
      <c r="W4" s="7">
        <f>T4/U4*P4*V4</f>
        <v>95290.408163265296</v>
      </c>
      <c r="X4" s="20">
        <f>W4+S4</f>
        <v>178351.79816326528</v>
      </c>
      <c r="Y4" s="7">
        <f>X4/P4</f>
        <v>294.30989795918362</v>
      </c>
    </row>
    <row r="5" spans="1:25">
      <c r="A5" s="1" t="s">
        <v>67</v>
      </c>
      <c r="B5" s="26">
        <v>570</v>
      </c>
      <c r="C5" s="1">
        <v>0.83</v>
      </c>
      <c r="D5" s="1">
        <v>173.5</v>
      </c>
      <c r="E5" s="16">
        <f t="shared" ref="E5:E46" si="0">B5*C5*D5</f>
        <v>82082.849999999991</v>
      </c>
      <c r="F5" s="1">
        <v>403</v>
      </c>
      <c r="G5" s="1">
        <v>1110</v>
      </c>
      <c r="H5" s="1">
        <v>460</v>
      </c>
      <c r="I5" s="7">
        <f t="shared" ref="I5:I46" si="1">F5/G5*B5*H5</f>
        <v>95195.135135135148</v>
      </c>
      <c r="J5" s="20">
        <f t="shared" ref="J5:J46" si="2">I5+E5</f>
        <v>177277.98513513512</v>
      </c>
      <c r="K5" s="7">
        <f t="shared" ref="K5:K9" si="3">J5/B5</f>
        <v>311.01400900900899</v>
      </c>
      <c r="O5" s="1" t="s">
        <v>67</v>
      </c>
      <c r="P5" s="26">
        <v>540</v>
      </c>
      <c r="Q5" s="1">
        <v>0.83</v>
      </c>
      <c r="R5" s="1">
        <v>173.5</v>
      </c>
      <c r="S5" s="16">
        <f t="shared" ref="S5:S46" si="4">P5*Q5*R5</f>
        <v>77762.7</v>
      </c>
      <c r="T5" s="1">
        <v>403</v>
      </c>
      <c r="U5" s="1">
        <v>1110</v>
      </c>
      <c r="V5" s="1">
        <v>460</v>
      </c>
      <c r="W5" s="7">
        <f t="shared" ref="W5:W6" si="5">T5/U5*P5*V5</f>
        <v>90184.864864864867</v>
      </c>
      <c r="X5" s="20">
        <f t="shared" ref="X5:X6" si="6">W5+S5</f>
        <v>167947.56486486486</v>
      </c>
      <c r="Y5" s="7">
        <f t="shared" ref="Y5:Y6" si="7">X5/P5</f>
        <v>311.01400900900899</v>
      </c>
    </row>
    <row r="6" spans="1:25">
      <c r="A6" s="1" t="s">
        <v>49</v>
      </c>
      <c r="B6" s="26">
        <v>536</v>
      </c>
      <c r="C6" s="1">
        <v>0.8</v>
      </c>
      <c r="D6" s="1">
        <v>173.5</v>
      </c>
      <c r="E6" s="16">
        <f t="shared" si="0"/>
        <v>74396.800000000003</v>
      </c>
      <c r="F6" s="1">
        <v>324</v>
      </c>
      <c r="G6" s="1">
        <v>1046</v>
      </c>
      <c r="H6" s="1">
        <v>460</v>
      </c>
      <c r="I6" s="7">
        <f t="shared" si="1"/>
        <v>76372.313575525812</v>
      </c>
      <c r="J6" s="20">
        <f t="shared" si="2"/>
        <v>150769.11357552581</v>
      </c>
      <c r="K6" s="7">
        <f t="shared" si="3"/>
        <v>281.28565965583175</v>
      </c>
      <c r="O6" s="1" t="s">
        <v>49</v>
      </c>
      <c r="P6" s="26">
        <v>510</v>
      </c>
      <c r="Q6" s="1">
        <v>0.8</v>
      </c>
      <c r="R6" s="1">
        <v>173.5</v>
      </c>
      <c r="S6" s="16">
        <f t="shared" si="4"/>
        <v>70788</v>
      </c>
      <c r="T6" s="1">
        <v>324</v>
      </c>
      <c r="U6" s="1">
        <v>1046</v>
      </c>
      <c r="V6" s="1">
        <v>460</v>
      </c>
      <c r="W6" s="7">
        <f t="shared" si="5"/>
        <v>72667.686424474203</v>
      </c>
      <c r="X6" s="20">
        <f t="shared" si="6"/>
        <v>143455.6864244742</v>
      </c>
      <c r="Y6" s="7">
        <f t="shared" si="7"/>
        <v>281.28565965583175</v>
      </c>
    </row>
    <row r="7" spans="1:25">
      <c r="A7" s="2" t="s">
        <v>68</v>
      </c>
      <c r="B7" s="26"/>
      <c r="C7" s="1"/>
      <c r="D7" s="1"/>
      <c r="E7" s="16">
        <f t="shared" si="0"/>
        <v>0</v>
      </c>
      <c r="F7" s="1"/>
      <c r="G7" s="1"/>
      <c r="H7" s="1"/>
      <c r="I7" s="7"/>
      <c r="J7" s="20"/>
      <c r="K7" s="7"/>
      <c r="O7" s="2" t="s">
        <v>68</v>
      </c>
      <c r="P7" s="26"/>
      <c r="Q7" s="1"/>
      <c r="R7" s="1"/>
      <c r="S7" s="16">
        <f t="shared" si="4"/>
        <v>0</v>
      </c>
      <c r="T7" s="1"/>
      <c r="U7" s="1"/>
      <c r="V7" s="1"/>
      <c r="W7" s="7"/>
      <c r="X7" s="20"/>
      <c r="Y7" s="7"/>
    </row>
    <row r="8" spans="1:25">
      <c r="A8" s="1" t="s">
        <v>69</v>
      </c>
      <c r="B8" s="26">
        <v>652</v>
      </c>
      <c r="C8" s="1">
        <v>1.57</v>
      </c>
      <c r="D8" s="1">
        <v>173.5</v>
      </c>
      <c r="E8" s="16">
        <f t="shared" si="0"/>
        <v>177601.54</v>
      </c>
      <c r="F8" s="1">
        <v>778</v>
      </c>
      <c r="G8" s="1">
        <v>1312</v>
      </c>
      <c r="H8" s="1">
        <v>460</v>
      </c>
      <c r="I8" s="7">
        <f t="shared" si="1"/>
        <v>177848.90243902439</v>
      </c>
      <c r="J8" s="20">
        <f t="shared" si="2"/>
        <v>355450.44243902439</v>
      </c>
      <c r="K8" s="7">
        <f t="shared" si="3"/>
        <v>545.1693902439024</v>
      </c>
      <c r="O8" s="1" t="s">
        <v>69</v>
      </c>
      <c r="P8" s="26">
        <v>660</v>
      </c>
      <c r="Q8" s="1">
        <v>1.57</v>
      </c>
      <c r="R8" s="1">
        <v>173.5</v>
      </c>
      <c r="S8" s="16">
        <f t="shared" si="4"/>
        <v>179780.7</v>
      </c>
      <c r="T8" s="1">
        <v>778</v>
      </c>
      <c r="U8" s="1">
        <v>1312</v>
      </c>
      <c r="V8" s="1">
        <v>460</v>
      </c>
      <c r="W8" s="7">
        <f t="shared" ref="W8:W13" si="8">T8/U8*P8*V8</f>
        <v>180031.09756097561</v>
      </c>
      <c r="X8" s="20">
        <f t="shared" ref="X8:X13" si="9">W8+S8</f>
        <v>359811.79756097565</v>
      </c>
      <c r="Y8" s="7">
        <f t="shared" ref="Y8:Y13" si="10">X8/P8</f>
        <v>545.16939024390251</v>
      </c>
    </row>
    <row r="9" spans="1:25">
      <c r="A9" t="s">
        <v>11</v>
      </c>
      <c r="B9" s="26">
        <v>586</v>
      </c>
      <c r="C9" s="1">
        <v>1.5</v>
      </c>
      <c r="D9" s="1">
        <v>173.5</v>
      </c>
      <c r="E9" s="16">
        <f t="shared" si="0"/>
        <v>152506.5</v>
      </c>
      <c r="F9" s="1">
        <v>673</v>
      </c>
      <c r="G9" s="1">
        <v>1156</v>
      </c>
      <c r="H9" s="1">
        <v>460</v>
      </c>
      <c r="I9" s="7">
        <f t="shared" si="1"/>
        <v>156932.42214532872</v>
      </c>
      <c r="J9" s="20">
        <f t="shared" si="2"/>
        <v>309438.92214532872</v>
      </c>
      <c r="K9" s="7">
        <f t="shared" si="3"/>
        <v>528.05276816609</v>
      </c>
      <c r="O9" s="1" t="s">
        <v>11</v>
      </c>
      <c r="P9" s="26">
        <v>570</v>
      </c>
      <c r="Q9" s="1">
        <v>1.5</v>
      </c>
      <c r="R9" s="1">
        <v>173.5</v>
      </c>
      <c r="S9" s="16">
        <f t="shared" si="4"/>
        <v>148342.5</v>
      </c>
      <c r="T9" s="1">
        <v>673</v>
      </c>
      <c r="U9" s="1">
        <v>1156</v>
      </c>
      <c r="V9" s="1">
        <v>460</v>
      </c>
      <c r="W9" s="7">
        <f t="shared" si="8"/>
        <v>152647.57785467128</v>
      </c>
      <c r="X9" s="20">
        <f t="shared" si="9"/>
        <v>300990.07785467128</v>
      </c>
      <c r="Y9" s="7">
        <f t="shared" si="10"/>
        <v>528.05276816609</v>
      </c>
    </row>
    <row r="10" spans="1:25">
      <c r="A10" s="1" t="s">
        <v>19</v>
      </c>
      <c r="B10" s="26">
        <v>420</v>
      </c>
      <c r="C10" s="1">
        <v>1.57</v>
      </c>
      <c r="D10" s="1">
        <v>173.5</v>
      </c>
      <c r="E10" s="16">
        <f t="shared" si="0"/>
        <v>114405.9</v>
      </c>
      <c r="F10" s="1">
        <v>489</v>
      </c>
      <c r="G10" s="1">
        <v>830</v>
      </c>
      <c r="H10" s="1">
        <v>460</v>
      </c>
      <c r="I10" s="7">
        <f t="shared" si="1"/>
        <v>113825.06024096385</v>
      </c>
      <c r="J10" s="20">
        <f t="shared" si="2"/>
        <v>228230.96024096385</v>
      </c>
      <c r="K10" s="7">
        <f t="shared" ref="K10:K13" si="11">J10/B10</f>
        <v>543.40704819277107</v>
      </c>
      <c r="O10" s="1" t="s">
        <v>19</v>
      </c>
      <c r="P10" s="26">
        <v>420</v>
      </c>
      <c r="Q10" s="1">
        <v>1.57</v>
      </c>
      <c r="R10" s="1">
        <v>173.5</v>
      </c>
      <c r="S10" s="16">
        <f t="shared" si="4"/>
        <v>114405.9</v>
      </c>
      <c r="T10" s="1">
        <v>489</v>
      </c>
      <c r="U10" s="1">
        <v>830</v>
      </c>
      <c r="V10" s="1">
        <v>460</v>
      </c>
      <c r="W10" s="7">
        <f t="shared" si="8"/>
        <v>113825.06024096385</v>
      </c>
      <c r="X10" s="20">
        <f t="shared" si="9"/>
        <v>228230.96024096385</v>
      </c>
      <c r="Y10" s="7">
        <f t="shared" si="10"/>
        <v>543.40704819277107</v>
      </c>
    </row>
    <row r="11" spans="1:25">
      <c r="A11" s="1" t="s">
        <v>47</v>
      </c>
      <c r="B11" s="26">
        <v>484</v>
      </c>
      <c r="C11" s="1">
        <v>1.57</v>
      </c>
      <c r="D11" s="1">
        <v>173.5</v>
      </c>
      <c r="E11" s="16">
        <f t="shared" si="0"/>
        <v>131839.18</v>
      </c>
      <c r="F11" s="1">
        <v>582</v>
      </c>
      <c r="G11" s="1">
        <v>964</v>
      </c>
      <c r="H11" s="1">
        <v>460</v>
      </c>
      <c r="I11" s="7">
        <f t="shared" si="1"/>
        <v>134415.43568464729</v>
      </c>
      <c r="J11" s="20">
        <f t="shared" si="2"/>
        <v>266254.61568464729</v>
      </c>
      <c r="K11" s="7">
        <f t="shared" si="11"/>
        <v>550.11284232365142</v>
      </c>
      <c r="O11" s="1" t="s">
        <v>47</v>
      </c>
      <c r="P11" s="26">
        <v>480</v>
      </c>
      <c r="Q11" s="1">
        <v>1.57</v>
      </c>
      <c r="R11" s="1">
        <v>173.5</v>
      </c>
      <c r="S11" s="16">
        <f t="shared" si="4"/>
        <v>130749.6</v>
      </c>
      <c r="T11" s="1">
        <v>582</v>
      </c>
      <c r="U11" s="1">
        <v>964</v>
      </c>
      <c r="V11" s="1">
        <v>460</v>
      </c>
      <c r="W11" s="7">
        <f t="shared" si="8"/>
        <v>133304.56431535271</v>
      </c>
      <c r="X11" s="20">
        <f t="shared" si="9"/>
        <v>264054.16431535268</v>
      </c>
      <c r="Y11" s="7">
        <f t="shared" si="10"/>
        <v>550.11284232365142</v>
      </c>
    </row>
    <row r="12" spans="1:25">
      <c r="A12" s="1" t="s">
        <v>28</v>
      </c>
      <c r="B12" s="26">
        <v>390</v>
      </c>
      <c r="C12" s="1">
        <v>1.57</v>
      </c>
      <c r="D12" s="1">
        <v>173.5</v>
      </c>
      <c r="E12" s="16">
        <f t="shared" si="0"/>
        <v>106234.05000000002</v>
      </c>
      <c r="F12" s="1">
        <v>450</v>
      </c>
      <c r="G12" s="1">
        <v>801</v>
      </c>
      <c r="H12" s="1">
        <v>460</v>
      </c>
      <c r="I12" s="7">
        <f t="shared" si="1"/>
        <v>100786.5168539326</v>
      </c>
      <c r="J12" s="20">
        <f t="shared" si="2"/>
        <v>207020.56685393263</v>
      </c>
      <c r="K12" s="7">
        <f t="shared" si="11"/>
        <v>530.8219662921349</v>
      </c>
      <c r="O12" s="1" t="s">
        <v>28</v>
      </c>
      <c r="P12" s="26">
        <v>411</v>
      </c>
      <c r="Q12" s="1">
        <v>1.57</v>
      </c>
      <c r="R12" s="1">
        <v>173.5</v>
      </c>
      <c r="S12" s="16">
        <f t="shared" si="4"/>
        <v>111954.345</v>
      </c>
      <c r="T12" s="1">
        <v>450</v>
      </c>
      <c r="U12" s="1">
        <v>801</v>
      </c>
      <c r="V12" s="1">
        <v>460</v>
      </c>
      <c r="W12" s="7">
        <f t="shared" si="8"/>
        <v>106213.48314606742</v>
      </c>
      <c r="X12" s="20">
        <f t="shared" si="9"/>
        <v>218167.82814606742</v>
      </c>
      <c r="Y12" s="7">
        <f t="shared" si="10"/>
        <v>530.82196629213479</v>
      </c>
    </row>
    <row r="13" spans="1:25">
      <c r="A13" s="1" t="s">
        <v>70</v>
      </c>
      <c r="B13" s="26">
        <v>450</v>
      </c>
      <c r="C13" s="1">
        <v>1.5</v>
      </c>
      <c r="D13" s="1">
        <v>173.5</v>
      </c>
      <c r="E13" s="16">
        <f t="shared" si="0"/>
        <v>117112.5</v>
      </c>
      <c r="F13" s="1">
        <v>500</v>
      </c>
      <c r="G13" s="1">
        <v>899</v>
      </c>
      <c r="H13" s="1">
        <v>460</v>
      </c>
      <c r="I13" s="7">
        <f t="shared" si="1"/>
        <v>115127.91991101223</v>
      </c>
      <c r="J13" s="20">
        <f t="shared" si="2"/>
        <v>232240.41991101223</v>
      </c>
      <c r="K13" s="7">
        <f t="shared" si="11"/>
        <v>516.08982202447157</v>
      </c>
      <c r="O13" s="1" t="s">
        <v>70</v>
      </c>
      <c r="P13" s="26">
        <v>449</v>
      </c>
      <c r="Q13" s="1">
        <v>1.5</v>
      </c>
      <c r="R13" s="1">
        <v>173.5</v>
      </c>
      <c r="S13" s="16">
        <f t="shared" si="4"/>
        <v>116852.25</v>
      </c>
      <c r="T13" s="1">
        <v>500</v>
      </c>
      <c r="U13" s="1">
        <v>899</v>
      </c>
      <c r="V13" s="1">
        <v>460</v>
      </c>
      <c r="W13" s="7">
        <f t="shared" si="8"/>
        <v>114872.08008898776</v>
      </c>
      <c r="X13" s="20">
        <f t="shared" si="9"/>
        <v>231724.33008898777</v>
      </c>
      <c r="Y13" s="7">
        <f t="shared" si="10"/>
        <v>516.08982202447169</v>
      </c>
    </row>
    <row r="14" spans="1:25">
      <c r="A14" s="2" t="s">
        <v>41</v>
      </c>
      <c r="B14" s="26"/>
      <c r="C14" s="1"/>
      <c r="D14" s="1"/>
      <c r="E14" s="16">
        <f t="shared" si="0"/>
        <v>0</v>
      </c>
      <c r="F14" s="1"/>
      <c r="G14" s="1"/>
      <c r="H14" s="1"/>
      <c r="I14" s="7"/>
      <c r="J14" s="20"/>
      <c r="K14" s="7"/>
      <c r="O14" s="2" t="s">
        <v>41</v>
      </c>
      <c r="P14" s="26"/>
      <c r="Q14" s="1"/>
      <c r="R14" s="1"/>
      <c r="S14" s="16">
        <f t="shared" si="4"/>
        <v>0</v>
      </c>
      <c r="T14" s="1"/>
      <c r="U14" s="1"/>
      <c r="V14" s="1"/>
      <c r="W14" s="7"/>
      <c r="X14" s="20"/>
      <c r="Y14" s="7"/>
    </row>
    <row r="15" spans="1:25">
      <c r="A15" s="1" t="s">
        <v>71</v>
      </c>
      <c r="B15" s="26">
        <v>390</v>
      </c>
      <c r="C15" s="1">
        <v>1.4</v>
      </c>
      <c r="D15" s="1">
        <v>173.5</v>
      </c>
      <c r="E15" s="16">
        <f t="shared" si="0"/>
        <v>94731</v>
      </c>
      <c r="F15" s="1">
        <v>348</v>
      </c>
      <c r="G15" s="1">
        <v>810</v>
      </c>
      <c r="H15" s="1">
        <v>460</v>
      </c>
      <c r="I15" s="7">
        <f t="shared" si="1"/>
        <v>77075.555555555562</v>
      </c>
      <c r="J15" s="20">
        <f t="shared" si="2"/>
        <v>171806.55555555556</v>
      </c>
      <c r="K15" s="7">
        <f t="shared" ref="K15:K46" si="12">J15/B15</f>
        <v>440.52962962962965</v>
      </c>
      <c r="O15" s="1" t="s">
        <v>71</v>
      </c>
      <c r="P15" s="26">
        <v>420</v>
      </c>
      <c r="Q15" s="1">
        <v>1.4</v>
      </c>
      <c r="R15" s="1">
        <v>173.5</v>
      </c>
      <c r="S15" s="16">
        <f t="shared" si="4"/>
        <v>102018</v>
      </c>
      <c r="T15" s="1">
        <v>348</v>
      </c>
      <c r="U15" s="1">
        <v>810</v>
      </c>
      <c r="V15" s="1">
        <v>460</v>
      </c>
      <c r="W15" s="7">
        <f t="shared" ref="W15:W17" si="13">T15/U15*P15*V15</f>
        <v>83004.444444444453</v>
      </c>
      <c r="X15" s="20">
        <f t="shared" ref="X15:X17" si="14">W15+S15</f>
        <v>185022.44444444444</v>
      </c>
      <c r="Y15" s="7">
        <f t="shared" ref="Y15:Y17" si="15">X15/P15</f>
        <v>440.5296296296296</v>
      </c>
    </row>
    <row r="16" spans="1:25">
      <c r="A16" s="1" t="s">
        <v>23</v>
      </c>
      <c r="B16" s="26">
        <v>649</v>
      </c>
      <c r="C16" s="1">
        <v>1.4</v>
      </c>
      <c r="D16" s="1">
        <v>173.5</v>
      </c>
      <c r="E16" s="16">
        <f t="shared" si="0"/>
        <v>157642.09999999998</v>
      </c>
      <c r="F16" s="1">
        <v>479</v>
      </c>
      <c r="G16" s="1">
        <v>1309</v>
      </c>
      <c r="H16" s="1">
        <v>460</v>
      </c>
      <c r="I16" s="7">
        <f t="shared" si="1"/>
        <v>109244.20168067228</v>
      </c>
      <c r="J16" s="20">
        <f t="shared" si="2"/>
        <v>266886.30168067227</v>
      </c>
      <c r="K16" s="7">
        <f t="shared" si="12"/>
        <v>411.22696715049659</v>
      </c>
      <c r="O16" s="1" t="s">
        <v>23</v>
      </c>
      <c r="P16" s="26">
        <v>660</v>
      </c>
      <c r="Q16" s="1">
        <v>1.4</v>
      </c>
      <c r="R16" s="1">
        <v>173.5</v>
      </c>
      <c r="S16" s="16">
        <f t="shared" si="4"/>
        <v>160313.99999999997</v>
      </c>
      <c r="T16" s="1">
        <v>479</v>
      </c>
      <c r="U16" s="1">
        <v>1309</v>
      </c>
      <c r="V16" s="1">
        <v>460</v>
      </c>
      <c r="W16" s="7">
        <f t="shared" si="13"/>
        <v>111095.79831932773</v>
      </c>
      <c r="X16" s="20">
        <f t="shared" si="14"/>
        <v>271409.7983193277</v>
      </c>
      <c r="Y16" s="7">
        <f t="shared" si="15"/>
        <v>411.22696715049653</v>
      </c>
    </row>
    <row r="17" spans="1:25">
      <c r="A17" s="1" t="s">
        <v>27</v>
      </c>
      <c r="B17" s="26">
        <v>270</v>
      </c>
      <c r="C17" s="1">
        <v>1.4</v>
      </c>
      <c r="D17" s="1">
        <v>173.5</v>
      </c>
      <c r="E17" s="16">
        <f t="shared" si="0"/>
        <v>65583</v>
      </c>
      <c r="F17" s="1">
        <v>204</v>
      </c>
      <c r="G17" s="1">
        <v>510</v>
      </c>
      <c r="H17" s="1">
        <v>460</v>
      </c>
      <c r="I17" s="7">
        <f t="shared" si="1"/>
        <v>49680</v>
      </c>
      <c r="J17" s="20">
        <f t="shared" si="2"/>
        <v>115263</v>
      </c>
      <c r="K17" s="7">
        <f t="shared" si="12"/>
        <v>426.9</v>
      </c>
      <c r="O17" s="1" t="s">
        <v>27</v>
      </c>
      <c r="P17" s="26">
        <v>240</v>
      </c>
      <c r="Q17" s="1">
        <v>1.4</v>
      </c>
      <c r="R17" s="1">
        <v>173.5</v>
      </c>
      <c r="S17" s="16">
        <f t="shared" si="4"/>
        <v>58296</v>
      </c>
      <c r="T17" s="1">
        <v>204</v>
      </c>
      <c r="U17" s="1">
        <v>510</v>
      </c>
      <c r="V17" s="1">
        <v>460</v>
      </c>
      <c r="W17" s="7">
        <f t="shared" si="13"/>
        <v>44160</v>
      </c>
      <c r="X17" s="20">
        <f t="shared" si="14"/>
        <v>102456</v>
      </c>
      <c r="Y17" s="7">
        <f t="shared" si="15"/>
        <v>426.9</v>
      </c>
    </row>
    <row r="18" spans="1:25">
      <c r="A18" s="2" t="s">
        <v>79</v>
      </c>
      <c r="B18" s="26"/>
      <c r="C18" s="1"/>
      <c r="D18" s="1"/>
      <c r="E18" s="16">
        <f t="shared" si="0"/>
        <v>0</v>
      </c>
      <c r="F18" s="1"/>
      <c r="G18" s="1"/>
      <c r="H18" s="1"/>
      <c r="I18" s="7"/>
      <c r="J18" s="20"/>
      <c r="K18" s="7"/>
      <c r="O18" s="2" t="s">
        <v>79</v>
      </c>
      <c r="P18" s="26"/>
      <c r="Q18" s="1"/>
      <c r="R18" s="1"/>
      <c r="S18" s="16">
        <f t="shared" si="4"/>
        <v>0</v>
      </c>
      <c r="T18" s="1"/>
      <c r="U18" s="1"/>
      <c r="V18" s="1"/>
      <c r="W18" s="7"/>
      <c r="X18" s="20"/>
      <c r="Y18" s="7"/>
    </row>
    <row r="19" spans="1:25">
      <c r="A19" s="1" t="s">
        <v>11</v>
      </c>
      <c r="B19" s="26">
        <v>570</v>
      </c>
      <c r="C19" s="1">
        <v>0.78</v>
      </c>
      <c r="D19" s="1">
        <v>173.5</v>
      </c>
      <c r="E19" s="16">
        <f t="shared" si="0"/>
        <v>77138.100000000006</v>
      </c>
      <c r="F19" s="1">
        <v>351</v>
      </c>
      <c r="G19" s="1">
        <v>1177</v>
      </c>
      <c r="H19" s="1">
        <v>460</v>
      </c>
      <c r="I19" s="7">
        <f t="shared" si="1"/>
        <v>78192.183517417172</v>
      </c>
      <c r="J19" s="20">
        <f t="shared" si="2"/>
        <v>155330.28351741718</v>
      </c>
      <c r="K19" s="7">
        <f t="shared" si="12"/>
        <v>272.50926932880208</v>
      </c>
      <c r="O19" s="1" t="s">
        <v>11</v>
      </c>
      <c r="P19" s="26">
        <v>570</v>
      </c>
      <c r="Q19" s="1">
        <v>0.78</v>
      </c>
      <c r="R19" s="1">
        <v>173.5</v>
      </c>
      <c r="S19" s="16">
        <f t="shared" si="4"/>
        <v>77138.100000000006</v>
      </c>
      <c r="T19" s="1">
        <v>351</v>
      </c>
      <c r="U19" s="1">
        <v>1177</v>
      </c>
      <c r="V19" s="1">
        <v>460</v>
      </c>
      <c r="W19" s="7">
        <f t="shared" ref="W19:W23" si="16">T19/U19*P19*V19</f>
        <v>78192.183517417172</v>
      </c>
      <c r="X19" s="20">
        <f t="shared" ref="X19:X23" si="17">W19+S19</f>
        <v>155330.28351741718</v>
      </c>
      <c r="Y19" s="7">
        <f t="shared" ref="Y19:Y23" si="18">X19/P19</f>
        <v>272.50926932880208</v>
      </c>
    </row>
    <row r="20" spans="1:25">
      <c r="A20" s="1" t="s">
        <v>13</v>
      </c>
      <c r="B20" s="26">
        <v>533</v>
      </c>
      <c r="C20" s="1">
        <v>0.78</v>
      </c>
      <c r="D20" s="1">
        <v>173.5</v>
      </c>
      <c r="E20" s="16">
        <f t="shared" si="0"/>
        <v>72130.89</v>
      </c>
      <c r="F20" s="1">
        <v>297</v>
      </c>
      <c r="G20" s="1">
        <v>1013</v>
      </c>
      <c r="H20" s="1">
        <v>460</v>
      </c>
      <c r="I20" s="7">
        <f t="shared" si="1"/>
        <v>71883.9684106614</v>
      </c>
      <c r="J20" s="20">
        <f t="shared" si="2"/>
        <v>144014.8584106614</v>
      </c>
      <c r="K20" s="7">
        <f t="shared" si="12"/>
        <v>270.19673247778871</v>
      </c>
      <c r="O20" s="1" t="s">
        <v>13</v>
      </c>
      <c r="P20" s="26">
        <v>480</v>
      </c>
      <c r="Q20" s="1">
        <v>0.78</v>
      </c>
      <c r="R20" s="1">
        <v>173.5</v>
      </c>
      <c r="S20" s="16">
        <f t="shared" si="4"/>
        <v>64958.400000000009</v>
      </c>
      <c r="T20" s="1">
        <v>297</v>
      </c>
      <c r="U20" s="1">
        <v>1013</v>
      </c>
      <c r="V20" s="1">
        <v>460</v>
      </c>
      <c r="W20" s="7">
        <f t="shared" si="16"/>
        <v>64736.0315893386</v>
      </c>
      <c r="X20" s="20">
        <f t="shared" si="17"/>
        <v>129694.43158933861</v>
      </c>
      <c r="Y20" s="7">
        <f t="shared" si="18"/>
        <v>270.19673247778877</v>
      </c>
    </row>
    <row r="21" spans="1:25">
      <c r="A21" s="1" t="s">
        <v>72</v>
      </c>
      <c r="B21" s="26">
        <v>428</v>
      </c>
      <c r="C21" s="1">
        <v>0.78</v>
      </c>
      <c r="D21" s="1">
        <v>173.5</v>
      </c>
      <c r="E21" s="16">
        <f t="shared" si="0"/>
        <v>57921.240000000005</v>
      </c>
      <c r="F21" s="1">
        <v>243</v>
      </c>
      <c r="G21" s="1">
        <v>818</v>
      </c>
      <c r="H21" s="1">
        <v>460</v>
      </c>
      <c r="I21" s="7">
        <f t="shared" si="1"/>
        <v>58486.356968215157</v>
      </c>
      <c r="J21" s="20">
        <f t="shared" si="2"/>
        <v>116407.59696821516</v>
      </c>
      <c r="K21" s="7">
        <f t="shared" si="12"/>
        <v>271.98036674816626</v>
      </c>
      <c r="O21" s="1" t="s">
        <v>72</v>
      </c>
      <c r="P21" s="26">
        <v>390</v>
      </c>
      <c r="Q21" s="1">
        <v>0.78</v>
      </c>
      <c r="R21" s="1">
        <v>173.5</v>
      </c>
      <c r="S21" s="16">
        <f t="shared" si="4"/>
        <v>52778.7</v>
      </c>
      <c r="T21" s="1">
        <v>243</v>
      </c>
      <c r="U21" s="1">
        <v>818</v>
      </c>
      <c r="V21" s="1">
        <v>460</v>
      </c>
      <c r="W21" s="7">
        <f t="shared" si="16"/>
        <v>53293.643031784843</v>
      </c>
      <c r="X21" s="20">
        <f t="shared" si="17"/>
        <v>106072.34303178484</v>
      </c>
      <c r="Y21" s="7">
        <f t="shared" si="18"/>
        <v>271.98036674816626</v>
      </c>
    </row>
    <row r="22" spans="1:25">
      <c r="A22" s="1" t="s">
        <v>18</v>
      </c>
      <c r="B22" s="26">
        <v>420</v>
      </c>
      <c r="C22" s="1">
        <v>0.78</v>
      </c>
      <c r="D22" s="1">
        <v>173.5</v>
      </c>
      <c r="E22" s="16">
        <f t="shared" si="0"/>
        <v>56838.600000000006</v>
      </c>
      <c r="F22" s="1">
        <v>261</v>
      </c>
      <c r="G22" s="1">
        <v>870</v>
      </c>
      <c r="H22" s="1">
        <v>460</v>
      </c>
      <c r="I22" s="7">
        <f t="shared" si="1"/>
        <v>57960</v>
      </c>
      <c r="J22" s="20">
        <f t="shared" si="2"/>
        <v>114798.6</v>
      </c>
      <c r="K22" s="7">
        <f t="shared" si="12"/>
        <v>273.33000000000004</v>
      </c>
      <c r="O22" s="1" t="s">
        <v>18</v>
      </c>
      <c r="P22" s="26">
        <v>450</v>
      </c>
      <c r="Q22" s="1">
        <v>0.78</v>
      </c>
      <c r="R22" s="1">
        <v>173.5</v>
      </c>
      <c r="S22" s="16">
        <f t="shared" si="4"/>
        <v>60898.5</v>
      </c>
      <c r="T22" s="1">
        <v>261</v>
      </c>
      <c r="U22" s="1">
        <v>870</v>
      </c>
      <c r="V22" s="1">
        <v>460</v>
      </c>
      <c r="W22" s="7">
        <f t="shared" si="16"/>
        <v>62100</v>
      </c>
      <c r="X22" s="20">
        <f t="shared" si="17"/>
        <v>122998.5</v>
      </c>
      <c r="Y22" s="7">
        <f t="shared" si="18"/>
        <v>273.33</v>
      </c>
    </row>
    <row r="23" spans="1:25">
      <c r="A23" s="1" t="s">
        <v>49</v>
      </c>
      <c r="B23" s="26">
        <v>600</v>
      </c>
      <c r="C23" s="1">
        <v>0.78</v>
      </c>
      <c r="D23" s="1">
        <v>173.5</v>
      </c>
      <c r="E23" s="16">
        <f t="shared" si="0"/>
        <v>81198</v>
      </c>
      <c r="F23" s="1">
        <v>360</v>
      </c>
      <c r="G23" s="1">
        <v>1200</v>
      </c>
      <c r="H23" s="1">
        <v>460</v>
      </c>
      <c r="I23" s="7">
        <f t="shared" si="1"/>
        <v>82800</v>
      </c>
      <c r="J23" s="20">
        <f t="shared" si="2"/>
        <v>163998</v>
      </c>
      <c r="K23" s="7">
        <f t="shared" si="12"/>
        <v>273.33</v>
      </c>
      <c r="O23" s="1" t="s">
        <v>49</v>
      </c>
      <c r="P23" s="26">
        <v>600</v>
      </c>
      <c r="Q23" s="1">
        <v>0.78</v>
      </c>
      <c r="R23" s="1">
        <v>173.5</v>
      </c>
      <c r="S23" s="16">
        <f t="shared" si="4"/>
        <v>81198</v>
      </c>
      <c r="T23" s="1">
        <v>360</v>
      </c>
      <c r="U23" s="1">
        <v>1200</v>
      </c>
      <c r="V23" s="1">
        <v>460</v>
      </c>
      <c r="W23" s="7">
        <f t="shared" si="16"/>
        <v>82800</v>
      </c>
      <c r="X23" s="20">
        <f t="shared" si="17"/>
        <v>163998</v>
      </c>
      <c r="Y23" s="7">
        <f t="shared" si="18"/>
        <v>273.33</v>
      </c>
    </row>
    <row r="24" spans="1:25">
      <c r="A24" s="2" t="s">
        <v>73</v>
      </c>
      <c r="B24" s="26"/>
      <c r="C24" s="1"/>
      <c r="D24" s="1"/>
      <c r="E24" s="16">
        <f t="shared" si="0"/>
        <v>0</v>
      </c>
      <c r="F24" s="1"/>
      <c r="G24" s="1"/>
      <c r="H24" s="1"/>
      <c r="I24" s="7"/>
      <c r="J24" s="20"/>
      <c r="K24" s="7"/>
      <c r="O24" s="2" t="s">
        <v>73</v>
      </c>
      <c r="P24" s="26"/>
      <c r="Q24" s="1"/>
      <c r="R24" s="1"/>
      <c r="S24" s="16">
        <f t="shared" si="4"/>
        <v>0</v>
      </c>
      <c r="T24" s="1"/>
      <c r="U24" s="1"/>
      <c r="V24" s="1"/>
      <c r="W24" s="7"/>
      <c r="X24" s="20"/>
      <c r="Y24" s="7"/>
    </row>
    <row r="25" spans="1:25">
      <c r="A25" s="1" t="s">
        <v>69</v>
      </c>
      <c r="B25" s="26">
        <v>480</v>
      </c>
      <c r="C25" s="1">
        <v>0.84</v>
      </c>
      <c r="D25" s="1">
        <v>173.5</v>
      </c>
      <c r="E25" s="16">
        <f t="shared" si="0"/>
        <v>69955.199999999997</v>
      </c>
      <c r="F25" s="1">
        <v>371</v>
      </c>
      <c r="G25" s="1">
        <v>990</v>
      </c>
      <c r="H25" s="1">
        <v>460</v>
      </c>
      <c r="I25" s="7">
        <f t="shared" si="1"/>
        <v>82744.242424242431</v>
      </c>
      <c r="J25" s="20">
        <f t="shared" si="2"/>
        <v>152699.44242424244</v>
      </c>
      <c r="K25" s="7">
        <f t="shared" si="12"/>
        <v>318.1238383838384</v>
      </c>
      <c r="O25" s="1" t="s">
        <v>69</v>
      </c>
      <c r="P25" s="26">
        <v>510</v>
      </c>
      <c r="Q25" s="1">
        <v>0.84</v>
      </c>
      <c r="R25" s="1">
        <v>173.5</v>
      </c>
      <c r="S25" s="16">
        <f t="shared" si="4"/>
        <v>74327.399999999994</v>
      </c>
      <c r="T25" s="1">
        <v>371</v>
      </c>
      <c r="U25" s="1">
        <v>990</v>
      </c>
      <c r="V25" s="1">
        <v>460</v>
      </c>
      <c r="W25" s="7">
        <f t="shared" ref="W25:W32" si="19">T25/U25*P25*V25</f>
        <v>87915.757575757583</v>
      </c>
      <c r="X25" s="20">
        <f t="shared" ref="X25:X32" si="20">W25+S25</f>
        <v>162243.15757575759</v>
      </c>
      <c r="Y25" s="7">
        <f t="shared" ref="Y25:Y32" si="21">X25/P25</f>
        <v>318.1238383838384</v>
      </c>
    </row>
    <row r="26" spans="1:25">
      <c r="A26" s="1" t="s">
        <v>11</v>
      </c>
      <c r="B26" s="26">
        <v>990</v>
      </c>
      <c r="C26" s="1">
        <v>0.72</v>
      </c>
      <c r="D26" s="1">
        <v>173.5</v>
      </c>
      <c r="E26" s="16">
        <f t="shared" si="0"/>
        <v>123670.79999999999</v>
      </c>
      <c r="F26" s="1">
        <v>825</v>
      </c>
      <c r="G26" s="1">
        <v>2397</v>
      </c>
      <c r="H26" s="1">
        <v>460</v>
      </c>
      <c r="I26" s="7">
        <f t="shared" si="1"/>
        <v>156739.67459324157</v>
      </c>
      <c r="J26" s="20">
        <f t="shared" si="2"/>
        <v>280410.47459324158</v>
      </c>
      <c r="K26" s="7">
        <f t="shared" si="12"/>
        <v>283.24290362953695</v>
      </c>
      <c r="O26" s="1" t="s">
        <v>11</v>
      </c>
      <c r="P26" s="26">
        <v>1437</v>
      </c>
      <c r="Q26" s="1">
        <v>0.72</v>
      </c>
      <c r="R26" s="1">
        <v>173.5</v>
      </c>
      <c r="S26" s="16">
        <f t="shared" si="4"/>
        <v>179510.03999999998</v>
      </c>
      <c r="T26" s="1">
        <v>825</v>
      </c>
      <c r="U26" s="1">
        <v>2397</v>
      </c>
      <c r="V26" s="1">
        <v>460</v>
      </c>
      <c r="W26" s="7">
        <f t="shared" si="19"/>
        <v>227510.01251564457</v>
      </c>
      <c r="X26" s="20">
        <f t="shared" si="20"/>
        <v>407020.05251564458</v>
      </c>
      <c r="Y26" s="7">
        <f t="shared" si="21"/>
        <v>283.24290362953695</v>
      </c>
    </row>
    <row r="27" spans="1:25">
      <c r="A27" s="1" t="s">
        <v>13</v>
      </c>
      <c r="B27" s="26">
        <v>507</v>
      </c>
      <c r="C27" s="1">
        <v>0.84</v>
      </c>
      <c r="D27" s="1">
        <v>173.5</v>
      </c>
      <c r="E27" s="16">
        <f t="shared" si="0"/>
        <v>73890.179999999993</v>
      </c>
      <c r="F27" s="1">
        <v>367</v>
      </c>
      <c r="G27" s="1">
        <v>1017</v>
      </c>
      <c r="H27" s="1">
        <v>460</v>
      </c>
      <c r="I27" s="7">
        <f t="shared" si="1"/>
        <v>84161.002949852511</v>
      </c>
      <c r="J27" s="20">
        <f t="shared" si="2"/>
        <v>158051.18294985249</v>
      </c>
      <c r="K27" s="7">
        <f t="shared" si="12"/>
        <v>311.73803343166173</v>
      </c>
      <c r="O27" s="1" t="s">
        <v>13</v>
      </c>
      <c r="P27" s="26">
        <v>507</v>
      </c>
      <c r="Q27" s="1">
        <v>0.84</v>
      </c>
      <c r="R27" s="1">
        <v>173.5</v>
      </c>
      <c r="S27" s="16">
        <f t="shared" si="4"/>
        <v>73890.179999999993</v>
      </c>
      <c r="T27" s="1">
        <v>367</v>
      </c>
      <c r="U27" s="1">
        <v>1017</v>
      </c>
      <c r="V27" s="1">
        <v>460</v>
      </c>
      <c r="W27" s="7">
        <f t="shared" si="19"/>
        <v>84161.002949852511</v>
      </c>
      <c r="X27" s="20">
        <f t="shared" si="20"/>
        <v>158051.18294985249</v>
      </c>
      <c r="Y27" s="7">
        <f t="shared" si="21"/>
        <v>311.73803343166173</v>
      </c>
    </row>
    <row r="28" spans="1:25">
      <c r="A28" s="1" t="s">
        <v>74</v>
      </c>
      <c r="B28" s="26">
        <v>480</v>
      </c>
      <c r="C28" s="1">
        <v>0.84</v>
      </c>
      <c r="D28" s="1">
        <v>173.5</v>
      </c>
      <c r="E28" s="16">
        <f t="shared" si="0"/>
        <v>69955.199999999997</v>
      </c>
      <c r="F28" s="1">
        <v>335</v>
      </c>
      <c r="G28" s="1">
        <v>930</v>
      </c>
      <c r="H28" s="1">
        <v>460</v>
      </c>
      <c r="I28" s="7">
        <f t="shared" si="1"/>
        <v>79535.483870967742</v>
      </c>
      <c r="J28" s="20">
        <f t="shared" si="2"/>
        <v>149490.68387096774</v>
      </c>
      <c r="K28" s="7">
        <f t="shared" si="12"/>
        <v>311.43892473118279</v>
      </c>
      <c r="O28" s="1" t="s">
        <v>74</v>
      </c>
      <c r="P28" s="26">
        <v>450</v>
      </c>
      <c r="Q28" s="1">
        <v>0.84</v>
      </c>
      <c r="R28" s="1">
        <v>173.5</v>
      </c>
      <c r="S28" s="16">
        <f t="shared" si="4"/>
        <v>65583</v>
      </c>
      <c r="T28" s="1">
        <v>335</v>
      </c>
      <c r="U28" s="1">
        <v>930</v>
      </c>
      <c r="V28" s="1">
        <v>460</v>
      </c>
      <c r="W28" s="7">
        <f t="shared" si="19"/>
        <v>74564.516129032258</v>
      </c>
      <c r="X28" s="20">
        <f t="shared" si="20"/>
        <v>140147.51612903224</v>
      </c>
      <c r="Y28" s="7">
        <f t="shared" si="21"/>
        <v>311.43892473118274</v>
      </c>
    </row>
    <row r="29" spans="1:25">
      <c r="A29" s="1" t="s">
        <v>39</v>
      </c>
      <c r="B29" s="26">
        <v>450</v>
      </c>
      <c r="C29" s="1">
        <v>0.84</v>
      </c>
      <c r="D29" s="1">
        <v>173.5</v>
      </c>
      <c r="E29" s="16">
        <f t="shared" si="0"/>
        <v>65583</v>
      </c>
      <c r="F29" s="1">
        <v>335</v>
      </c>
      <c r="G29" s="1">
        <v>930</v>
      </c>
      <c r="H29" s="1">
        <v>460</v>
      </c>
      <c r="I29" s="7">
        <f t="shared" si="1"/>
        <v>74564.516129032258</v>
      </c>
      <c r="J29" s="20">
        <f t="shared" si="2"/>
        <v>140147.51612903224</v>
      </c>
      <c r="K29" s="7">
        <f t="shared" si="12"/>
        <v>311.43892473118274</v>
      </c>
      <c r="O29" s="1" t="s">
        <v>39</v>
      </c>
      <c r="P29" s="26">
        <v>480</v>
      </c>
      <c r="Q29" s="1">
        <v>0.84</v>
      </c>
      <c r="R29" s="1">
        <v>173.5</v>
      </c>
      <c r="S29" s="16">
        <f t="shared" si="4"/>
        <v>69955.199999999997</v>
      </c>
      <c r="T29" s="1">
        <v>335</v>
      </c>
      <c r="U29" s="1">
        <v>930</v>
      </c>
      <c r="V29" s="1">
        <v>460</v>
      </c>
      <c r="W29" s="7">
        <f t="shared" si="19"/>
        <v>79535.483870967742</v>
      </c>
      <c r="X29" s="20">
        <f t="shared" si="20"/>
        <v>149490.68387096774</v>
      </c>
      <c r="Y29" s="7">
        <f t="shared" si="21"/>
        <v>311.43892473118279</v>
      </c>
    </row>
    <row r="30" spans="1:25">
      <c r="A30" s="1" t="s">
        <v>49</v>
      </c>
      <c r="B30" s="26">
        <v>528</v>
      </c>
      <c r="C30" s="1">
        <v>0.84</v>
      </c>
      <c r="D30" s="1">
        <v>173.5</v>
      </c>
      <c r="E30" s="16">
        <f t="shared" si="0"/>
        <v>76950.720000000001</v>
      </c>
      <c r="F30" s="1">
        <v>355</v>
      </c>
      <c r="G30" s="1">
        <v>1008</v>
      </c>
      <c r="H30" s="1">
        <v>460</v>
      </c>
      <c r="I30" s="7">
        <f t="shared" si="1"/>
        <v>85538.095238095237</v>
      </c>
      <c r="J30" s="20">
        <f t="shared" si="2"/>
        <v>162488.81523809524</v>
      </c>
      <c r="K30" s="7">
        <f t="shared" si="12"/>
        <v>307.74396825396826</v>
      </c>
      <c r="O30" s="1" t="s">
        <v>49</v>
      </c>
      <c r="P30" s="26">
        <v>480</v>
      </c>
      <c r="Q30" s="1">
        <v>0.84</v>
      </c>
      <c r="R30" s="1">
        <v>173.5</v>
      </c>
      <c r="S30" s="16">
        <f t="shared" si="4"/>
        <v>69955.199999999997</v>
      </c>
      <c r="T30" s="1">
        <v>355</v>
      </c>
      <c r="U30" s="1">
        <v>1008</v>
      </c>
      <c r="V30" s="1">
        <v>460</v>
      </c>
      <c r="W30" s="7">
        <f t="shared" si="19"/>
        <v>77761.904761904763</v>
      </c>
      <c r="X30" s="20">
        <f t="shared" si="20"/>
        <v>147717.10476190475</v>
      </c>
      <c r="Y30" s="7">
        <f t="shared" si="21"/>
        <v>307.74396825396821</v>
      </c>
    </row>
    <row r="31" spans="1:25">
      <c r="A31" s="1" t="s">
        <v>28</v>
      </c>
      <c r="B31" s="26">
        <v>510</v>
      </c>
      <c r="C31" s="1">
        <v>0.84</v>
      </c>
      <c r="D31" s="1">
        <v>173.5</v>
      </c>
      <c r="E31" s="16">
        <f t="shared" si="0"/>
        <v>74327.399999999994</v>
      </c>
      <c r="F31" s="1">
        <v>375</v>
      </c>
      <c r="G31" s="1">
        <v>1047</v>
      </c>
      <c r="H31" s="1">
        <v>460</v>
      </c>
      <c r="I31" s="7">
        <f t="shared" si="1"/>
        <v>84025.787965616051</v>
      </c>
      <c r="J31" s="20">
        <f t="shared" si="2"/>
        <v>158353.18796561606</v>
      </c>
      <c r="K31" s="7">
        <f t="shared" si="12"/>
        <v>310.49644699140401</v>
      </c>
      <c r="O31" s="1" t="s">
        <v>28</v>
      </c>
      <c r="P31" s="26">
        <v>537</v>
      </c>
      <c r="Q31" s="1">
        <v>0.84</v>
      </c>
      <c r="R31" s="1">
        <v>173.5</v>
      </c>
      <c r="S31" s="16">
        <f t="shared" si="4"/>
        <v>78262.37999999999</v>
      </c>
      <c r="T31" s="1">
        <v>375</v>
      </c>
      <c r="U31" s="1">
        <v>1047</v>
      </c>
      <c r="V31" s="1">
        <v>460</v>
      </c>
      <c r="W31" s="7">
        <f t="shared" si="19"/>
        <v>88474.212034383963</v>
      </c>
      <c r="X31" s="20">
        <f t="shared" si="20"/>
        <v>166736.59203438397</v>
      </c>
      <c r="Y31" s="7">
        <f t="shared" si="21"/>
        <v>310.49644699140401</v>
      </c>
    </row>
    <row r="32" spans="1:25">
      <c r="A32" s="1" t="s">
        <v>70</v>
      </c>
      <c r="B32" s="26">
        <v>420</v>
      </c>
      <c r="C32" s="1">
        <v>0.84</v>
      </c>
      <c r="D32" s="1">
        <v>173.5</v>
      </c>
      <c r="E32" s="16">
        <f t="shared" si="0"/>
        <v>61210.8</v>
      </c>
      <c r="F32" s="1">
        <v>300</v>
      </c>
      <c r="G32" s="1">
        <v>835</v>
      </c>
      <c r="H32" s="1">
        <v>460</v>
      </c>
      <c r="I32" s="7">
        <f t="shared" si="1"/>
        <v>69413.173652694619</v>
      </c>
      <c r="J32" s="20">
        <f t="shared" si="2"/>
        <v>130623.97365269462</v>
      </c>
      <c r="K32" s="7">
        <f t="shared" si="12"/>
        <v>311.00946107784432</v>
      </c>
      <c r="O32" s="1" t="s">
        <v>70</v>
      </c>
      <c r="P32" s="26">
        <v>415</v>
      </c>
      <c r="Q32" s="1">
        <v>0.84</v>
      </c>
      <c r="R32" s="1">
        <v>173.5</v>
      </c>
      <c r="S32" s="16">
        <f t="shared" si="4"/>
        <v>60482.099999999991</v>
      </c>
      <c r="T32" s="1">
        <v>300</v>
      </c>
      <c r="U32" s="1">
        <v>835</v>
      </c>
      <c r="V32" s="1">
        <v>460</v>
      </c>
      <c r="W32" s="7">
        <f t="shared" si="19"/>
        <v>68586.826347305381</v>
      </c>
      <c r="X32" s="20">
        <f t="shared" si="20"/>
        <v>129068.92634730537</v>
      </c>
      <c r="Y32" s="7">
        <f t="shared" si="21"/>
        <v>311.00946107784426</v>
      </c>
    </row>
    <row r="33" spans="1:25">
      <c r="A33" s="2" t="s">
        <v>75</v>
      </c>
      <c r="B33" s="26"/>
      <c r="C33" s="1"/>
      <c r="D33" s="1"/>
      <c r="E33" s="16">
        <f t="shared" si="0"/>
        <v>0</v>
      </c>
      <c r="F33" s="1"/>
      <c r="G33" s="1"/>
      <c r="H33" s="1"/>
      <c r="I33" s="7"/>
      <c r="J33" s="20"/>
      <c r="K33" s="7"/>
      <c r="O33" s="2" t="s">
        <v>75</v>
      </c>
      <c r="P33" s="26"/>
      <c r="Q33" s="1"/>
      <c r="R33" s="1"/>
      <c r="S33" s="16">
        <f t="shared" si="4"/>
        <v>0</v>
      </c>
      <c r="T33" s="1"/>
      <c r="U33" s="1"/>
      <c r="V33" s="1"/>
      <c r="W33" s="7"/>
      <c r="X33" s="20"/>
      <c r="Y33" s="7"/>
    </row>
    <row r="34" spans="1:25">
      <c r="A34" s="1" t="s">
        <v>19</v>
      </c>
      <c r="B34" s="26">
        <v>300</v>
      </c>
      <c r="C34" s="1">
        <v>1.1599999999999999</v>
      </c>
      <c r="D34" s="1">
        <v>173.5</v>
      </c>
      <c r="E34" s="16">
        <f t="shared" si="0"/>
        <v>60378</v>
      </c>
      <c r="F34" s="1">
        <v>215</v>
      </c>
      <c r="G34" s="1">
        <v>610</v>
      </c>
      <c r="H34" s="1">
        <v>460</v>
      </c>
      <c r="I34" s="7">
        <f t="shared" si="1"/>
        <v>48639.344262295082</v>
      </c>
      <c r="J34" s="20">
        <f t="shared" si="2"/>
        <v>109017.34426229508</v>
      </c>
      <c r="K34" s="7">
        <f t="shared" si="12"/>
        <v>363.39114754098358</v>
      </c>
      <c r="O34" s="1" t="s">
        <v>19</v>
      </c>
      <c r="P34" s="26">
        <v>310</v>
      </c>
      <c r="Q34" s="1">
        <v>1.1599999999999999</v>
      </c>
      <c r="R34" s="1">
        <v>173.5</v>
      </c>
      <c r="S34" s="16">
        <f t="shared" si="4"/>
        <v>62390.599999999991</v>
      </c>
      <c r="T34" s="1">
        <v>215</v>
      </c>
      <c r="U34" s="1">
        <v>610</v>
      </c>
      <c r="V34" s="1">
        <v>460</v>
      </c>
      <c r="W34" s="7">
        <f t="shared" ref="W34:W38" si="22">T34/U34*P34*V34</f>
        <v>50260.655737704918</v>
      </c>
      <c r="X34" s="20">
        <f t="shared" ref="X34:X38" si="23">W34+S34</f>
        <v>112651.25573770491</v>
      </c>
      <c r="Y34" s="7">
        <f t="shared" ref="Y34:Y38" si="24">X34/P34</f>
        <v>363.39114754098358</v>
      </c>
    </row>
    <row r="35" spans="1:25">
      <c r="A35" s="1" t="s">
        <v>47</v>
      </c>
      <c r="B35" s="26">
        <v>330</v>
      </c>
      <c r="C35" s="1">
        <v>1.1599999999999999</v>
      </c>
      <c r="D35" s="1">
        <v>173.5</v>
      </c>
      <c r="E35" s="16">
        <f t="shared" si="0"/>
        <v>66415.799999999988</v>
      </c>
      <c r="F35" s="1">
        <v>222</v>
      </c>
      <c r="G35" s="1">
        <v>630</v>
      </c>
      <c r="H35" s="1">
        <v>460</v>
      </c>
      <c r="I35" s="7">
        <f t="shared" si="1"/>
        <v>53491.428571428572</v>
      </c>
      <c r="J35" s="20">
        <f t="shared" si="2"/>
        <v>119907.22857142857</v>
      </c>
      <c r="K35" s="7">
        <f t="shared" si="12"/>
        <v>363.35523809523806</v>
      </c>
      <c r="O35" s="1" t="s">
        <v>47</v>
      </c>
      <c r="P35" s="26">
        <v>300</v>
      </c>
      <c r="Q35" s="1">
        <v>1.1599999999999999</v>
      </c>
      <c r="R35" s="1">
        <v>173.5</v>
      </c>
      <c r="S35" s="16">
        <f t="shared" si="4"/>
        <v>60378</v>
      </c>
      <c r="T35" s="1">
        <v>222</v>
      </c>
      <c r="U35" s="1">
        <v>630</v>
      </c>
      <c r="V35" s="1">
        <v>460</v>
      </c>
      <c r="W35" s="7">
        <f t="shared" si="22"/>
        <v>48628.571428571435</v>
      </c>
      <c r="X35" s="20">
        <f t="shared" si="23"/>
        <v>109006.57142857143</v>
      </c>
      <c r="Y35" s="7">
        <f t="shared" si="24"/>
        <v>363.35523809523812</v>
      </c>
    </row>
    <row r="36" spans="1:25">
      <c r="A36" s="1" t="s">
        <v>67</v>
      </c>
      <c r="B36" s="26">
        <v>420</v>
      </c>
      <c r="C36" s="1">
        <v>1.1599999999999999</v>
      </c>
      <c r="D36" s="1">
        <v>173.5</v>
      </c>
      <c r="E36" s="16">
        <f t="shared" si="0"/>
        <v>84529.2</v>
      </c>
      <c r="F36" s="1">
        <v>310</v>
      </c>
      <c r="G36" s="1">
        <v>840</v>
      </c>
      <c r="H36" s="1">
        <v>460</v>
      </c>
      <c r="I36" s="7">
        <f t="shared" si="1"/>
        <v>71300</v>
      </c>
      <c r="J36" s="20">
        <f t="shared" si="2"/>
        <v>155829.20000000001</v>
      </c>
      <c r="K36" s="7">
        <f t="shared" si="12"/>
        <v>371.02190476190481</v>
      </c>
      <c r="O36" s="1" t="s">
        <v>67</v>
      </c>
      <c r="P36" s="26">
        <v>420</v>
      </c>
      <c r="Q36" s="1">
        <v>1.1599999999999999</v>
      </c>
      <c r="R36" s="1">
        <v>173.5</v>
      </c>
      <c r="S36" s="16">
        <f t="shared" si="4"/>
        <v>84529.2</v>
      </c>
      <c r="T36" s="1">
        <v>310</v>
      </c>
      <c r="U36" s="1">
        <v>840</v>
      </c>
      <c r="V36" s="1">
        <v>460</v>
      </c>
      <c r="W36" s="7">
        <f t="shared" si="22"/>
        <v>71300</v>
      </c>
      <c r="X36" s="20">
        <f t="shared" si="23"/>
        <v>155829.20000000001</v>
      </c>
      <c r="Y36" s="7">
        <f t="shared" si="24"/>
        <v>371.02190476190481</v>
      </c>
    </row>
    <row r="37" spans="1:25">
      <c r="A37" s="1" t="s">
        <v>28</v>
      </c>
      <c r="B37" s="26">
        <v>300</v>
      </c>
      <c r="C37" s="1">
        <v>1.1599999999999999</v>
      </c>
      <c r="D37" s="1">
        <v>173.5</v>
      </c>
      <c r="E37" s="16">
        <f t="shared" si="0"/>
        <v>60378</v>
      </c>
      <c r="F37" s="1">
        <v>203</v>
      </c>
      <c r="G37" s="1">
        <v>589</v>
      </c>
      <c r="H37" s="1">
        <v>460</v>
      </c>
      <c r="I37" s="7">
        <f t="shared" si="1"/>
        <v>47561.969439728353</v>
      </c>
      <c r="J37" s="20">
        <f t="shared" si="2"/>
        <v>107939.96943972836</v>
      </c>
      <c r="K37" s="7">
        <f t="shared" si="12"/>
        <v>359.79989813242787</v>
      </c>
      <c r="O37" s="1" t="s">
        <v>28</v>
      </c>
      <c r="P37" s="26">
        <v>289</v>
      </c>
      <c r="Q37" s="1">
        <v>1.1599999999999999</v>
      </c>
      <c r="R37" s="1">
        <v>173.5</v>
      </c>
      <c r="S37" s="16">
        <f t="shared" si="4"/>
        <v>58164.139999999992</v>
      </c>
      <c r="T37" s="1">
        <v>203</v>
      </c>
      <c r="U37" s="1">
        <v>589</v>
      </c>
      <c r="V37" s="1">
        <v>460</v>
      </c>
      <c r="W37" s="7">
        <f t="shared" si="22"/>
        <v>45818.03056027164</v>
      </c>
      <c r="X37" s="20">
        <f t="shared" si="23"/>
        <v>103982.17056027162</v>
      </c>
      <c r="Y37" s="7">
        <f t="shared" si="24"/>
        <v>359.79989813242776</v>
      </c>
    </row>
    <row r="38" spans="1:25">
      <c r="A38" s="1" t="s">
        <v>70</v>
      </c>
      <c r="B38" s="26">
        <v>259</v>
      </c>
      <c r="C38" s="1">
        <v>1.1599999999999999</v>
      </c>
      <c r="D38" s="1">
        <v>173.5</v>
      </c>
      <c r="E38" s="16">
        <f t="shared" si="0"/>
        <v>52126.34</v>
      </c>
      <c r="F38" s="1">
        <v>189</v>
      </c>
      <c r="G38" s="1">
        <v>499</v>
      </c>
      <c r="H38" s="1">
        <v>460</v>
      </c>
      <c r="I38" s="7">
        <f t="shared" si="1"/>
        <v>45125.170340681361</v>
      </c>
      <c r="J38" s="20">
        <f t="shared" si="2"/>
        <v>97251.510340681358</v>
      </c>
      <c r="K38" s="7">
        <f t="shared" si="12"/>
        <v>375.48845691382763</v>
      </c>
      <c r="O38" s="1" t="s">
        <v>70</v>
      </c>
      <c r="P38" s="26">
        <v>240</v>
      </c>
      <c r="Q38" s="1">
        <v>1.1599999999999999</v>
      </c>
      <c r="R38" s="1">
        <v>173.5</v>
      </c>
      <c r="S38" s="16">
        <f t="shared" si="4"/>
        <v>48302.399999999994</v>
      </c>
      <c r="T38" s="1">
        <v>189</v>
      </c>
      <c r="U38" s="1">
        <v>499</v>
      </c>
      <c r="V38" s="1">
        <v>460</v>
      </c>
      <c r="W38" s="7">
        <f t="shared" si="22"/>
        <v>41814.829659318639</v>
      </c>
      <c r="X38" s="20">
        <f t="shared" si="23"/>
        <v>90117.229659318633</v>
      </c>
      <c r="Y38" s="7">
        <f t="shared" si="24"/>
        <v>375.48845691382763</v>
      </c>
    </row>
    <row r="39" spans="1:25">
      <c r="A39" s="2" t="s">
        <v>76</v>
      </c>
      <c r="B39" s="26"/>
      <c r="C39" s="1"/>
      <c r="D39" s="1"/>
      <c r="E39" s="16">
        <f t="shared" si="0"/>
        <v>0</v>
      </c>
      <c r="F39" s="1"/>
      <c r="G39" s="1"/>
      <c r="H39" s="1"/>
      <c r="I39" s="7"/>
      <c r="J39" s="20"/>
      <c r="K39" s="7"/>
      <c r="O39" s="2" t="s">
        <v>76</v>
      </c>
      <c r="P39" s="26"/>
      <c r="Q39" s="1"/>
      <c r="R39" s="1"/>
      <c r="S39" s="16">
        <f t="shared" si="4"/>
        <v>0</v>
      </c>
      <c r="T39" s="1"/>
      <c r="U39" s="1"/>
      <c r="V39" s="1"/>
      <c r="W39" s="7"/>
      <c r="X39" s="20"/>
      <c r="Y39" s="7"/>
    </row>
    <row r="40" spans="1:25">
      <c r="A40" s="35" t="s">
        <v>26</v>
      </c>
      <c r="B40" s="34">
        <v>510</v>
      </c>
      <c r="C40" s="4">
        <v>0.79</v>
      </c>
      <c r="D40" s="35">
        <v>173.5</v>
      </c>
      <c r="E40" s="36">
        <f t="shared" si="0"/>
        <v>69903.150000000009</v>
      </c>
      <c r="F40" s="4">
        <v>324</v>
      </c>
      <c r="G40" s="4">
        <v>1020</v>
      </c>
      <c r="H40" s="35">
        <v>460</v>
      </c>
      <c r="I40" s="37">
        <f t="shared" si="1"/>
        <v>74520</v>
      </c>
      <c r="J40" s="38">
        <f t="shared" si="2"/>
        <v>144423.15000000002</v>
      </c>
      <c r="K40" s="37">
        <f t="shared" si="12"/>
        <v>283.18264705882359</v>
      </c>
      <c r="O40" s="35" t="s">
        <v>26</v>
      </c>
      <c r="P40" s="34">
        <v>510</v>
      </c>
      <c r="Q40" s="4">
        <v>0.79</v>
      </c>
      <c r="R40" s="35">
        <v>173.5</v>
      </c>
      <c r="S40" s="36">
        <f t="shared" si="4"/>
        <v>69903.150000000009</v>
      </c>
      <c r="T40" s="4">
        <v>324</v>
      </c>
      <c r="U40" s="4">
        <v>1020</v>
      </c>
      <c r="V40" s="35">
        <v>460</v>
      </c>
      <c r="W40" s="37">
        <f t="shared" ref="W40:W43" si="25">T40/U40*P40*V40</f>
        <v>74520</v>
      </c>
      <c r="X40" s="38">
        <f t="shared" ref="X40:X43" si="26">W40+S40</f>
        <v>144423.15000000002</v>
      </c>
      <c r="Y40" s="37">
        <f t="shared" ref="Y40:Y43" si="27">X40/P40</f>
        <v>283.18264705882359</v>
      </c>
    </row>
    <row r="41" spans="1:25">
      <c r="A41" s="1" t="s">
        <v>19</v>
      </c>
      <c r="B41" s="11">
        <v>480</v>
      </c>
      <c r="C41" s="11">
        <v>0.79</v>
      </c>
      <c r="D41" s="1">
        <v>173.5</v>
      </c>
      <c r="E41" s="16">
        <f t="shared" si="0"/>
        <v>65791.200000000012</v>
      </c>
      <c r="F41" s="11">
        <v>304</v>
      </c>
      <c r="G41" s="11">
        <v>957</v>
      </c>
      <c r="H41" s="1">
        <v>460</v>
      </c>
      <c r="I41" s="7">
        <f t="shared" si="1"/>
        <v>70139.184952978059</v>
      </c>
      <c r="J41" s="20">
        <f t="shared" si="2"/>
        <v>135930.38495297806</v>
      </c>
      <c r="K41" s="7">
        <f t="shared" si="12"/>
        <v>283.18830198537097</v>
      </c>
      <c r="O41" s="1" t="s">
        <v>19</v>
      </c>
      <c r="P41" s="11">
        <v>477</v>
      </c>
      <c r="Q41" s="11">
        <v>0.79</v>
      </c>
      <c r="R41" s="1">
        <v>173.5</v>
      </c>
      <c r="S41" s="16">
        <f t="shared" si="4"/>
        <v>65380.005000000005</v>
      </c>
      <c r="T41" s="11">
        <v>304</v>
      </c>
      <c r="U41" s="11">
        <v>957</v>
      </c>
      <c r="V41" s="1">
        <v>460</v>
      </c>
      <c r="W41" s="7">
        <f t="shared" si="25"/>
        <v>69700.815047021941</v>
      </c>
      <c r="X41" s="20">
        <f t="shared" si="26"/>
        <v>135080.82004702196</v>
      </c>
      <c r="Y41" s="7">
        <f t="shared" si="27"/>
        <v>283.18830198537097</v>
      </c>
    </row>
    <row r="42" spans="1:25">
      <c r="A42" s="1" t="s">
        <v>67</v>
      </c>
      <c r="B42" s="11">
        <v>480</v>
      </c>
      <c r="C42" s="11">
        <v>0.79</v>
      </c>
      <c r="D42" s="1">
        <v>173.5</v>
      </c>
      <c r="E42" s="16">
        <f t="shared" si="0"/>
        <v>65791.200000000012</v>
      </c>
      <c r="F42" s="11">
        <v>289</v>
      </c>
      <c r="G42" s="11">
        <v>992</v>
      </c>
      <c r="H42" s="1">
        <v>460</v>
      </c>
      <c r="I42" s="7">
        <f t="shared" si="1"/>
        <v>64325.806451612909</v>
      </c>
      <c r="J42" s="20">
        <f t="shared" si="2"/>
        <v>130117.00645161292</v>
      </c>
      <c r="K42" s="7">
        <f t="shared" si="12"/>
        <v>271.07709677419359</v>
      </c>
      <c r="O42" s="1" t="s">
        <v>67</v>
      </c>
      <c r="P42" s="11">
        <v>512</v>
      </c>
      <c r="Q42" s="11">
        <v>0.79</v>
      </c>
      <c r="R42" s="1">
        <v>173.5</v>
      </c>
      <c r="S42" s="16">
        <f t="shared" si="4"/>
        <v>70177.279999999999</v>
      </c>
      <c r="T42" s="11">
        <v>289</v>
      </c>
      <c r="U42" s="11">
        <v>992</v>
      </c>
      <c r="V42" s="1">
        <v>460</v>
      </c>
      <c r="W42" s="7">
        <f t="shared" si="25"/>
        <v>68614.193548387091</v>
      </c>
      <c r="X42" s="20">
        <f t="shared" si="26"/>
        <v>138791.47354838709</v>
      </c>
      <c r="Y42" s="7">
        <f t="shared" si="27"/>
        <v>271.07709677419354</v>
      </c>
    </row>
    <row r="43" spans="1:25">
      <c r="A43" s="1" t="s">
        <v>28</v>
      </c>
      <c r="B43" s="11">
        <v>480</v>
      </c>
      <c r="C43" s="11">
        <v>0.79</v>
      </c>
      <c r="D43" s="1">
        <v>173.5</v>
      </c>
      <c r="E43" s="16">
        <f t="shared" si="0"/>
        <v>65791.200000000012</v>
      </c>
      <c r="F43" s="11">
        <v>288</v>
      </c>
      <c r="G43" s="11">
        <v>990</v>
      </c>
      <c r="H43" s="1">
        <v>460</v>
      </c>
      <c r="I43" s="7">
        <f t="shared" si="1"/>
        <v>64232.727272727265</v>
      </c>
      <c r="J43" s="20">
        <f t="shared" si="2"/>
        <v>130023.92727272728</v>
      </c>
      <c r="K43" s="7">
        <f t="shared" si="12"/>
        <v>270.88318181818181</v>
      </c>
      <c r="O43" s="1" t="s">
        <v>28</v>
      </c>
      <c r="P43" s="11">
        <v>510</v>
      </c>
      <c r="Q43" s="11">
        <v>0.79</v>
      </c>
      <c r="R43" s="1">
        <v>173.5</v>
      </c>
      <c r="S43" s="16">
        <f t="shared" si="4"/>
        <v>69903.150000000009</v>
      </c>
      <c r="T43" s="11">
        <v>288</v>
      </c>
      <c r="U43" s="11">
        <v>990</v>
      </c>
      <c r="V43" s="1">
        <v>460</v>
      </c>
      <c r="W43" s="7">
        <f t="shared" si="25"/>
        <v>68247.272727272721</v>
      </c>
      <c r="X43" s="20">
        <f t="shared" si="26"/>
        <v>138150.42272727273</v>
      </c>
      <c r="Y43" s="7">
        <f t="shared" si="27"/>
        <v>270.88318181818181</v>
      </c>
    </row>
    <row r="44" spans="1:25">
      <c r="A44" s="2" t="s">
        <v>77</v>
      </c>
      <c r="B44" s="1"/>
      <c r="C44" s="1"/>
      <c r="D44" s="1"/>
      <c r="E44" s="16">
        <f t="shared" si="0"/>
        <v>0</v>
      </c>
      <c r="F44" s="1"/>
      <c r="G44" s="1"/>
      <c r="H44" s="1"/>
      <c r="I44" s="7"/>
      <c r="J44" s="20"/>
      <c r="K44" s="7"/>
      <c r="O44" s="2" t="s">
        <v>77</v>
      </c>
      <c r="P44" s="1"/>
      <c r="Q44" s="1"/>
      <c r="R44" s="1"/>
      <c r="S44" s="16">
        <f t="shared" si="4"/>
        <v>0</v>
      </c>
      <c r="T44" s="1"/>
      <c r="U44" s="1"/>
      <c r="V44" s="1"/>
      <c r="W44" s="7"/>
      <c r="X44" s="20"/>
      <c r="Y44" s="7"/>
    </row>
    <row r="45" spans="1:25">
      <c r="A45" s="1" t="s">
        <v>78</v>
      </c>
      <c r="B45" s="1">
        <v>264</v>
      </c>
      <c r="C45" s="1">
        <v>0.96</v>
      </c>
      <c r="D45" s="1">
        <v>173.5</v>
      </c>
      <c r="E45" s="16">
        <f t="shared" si="0"/>
        <v>43971.839999999997</v>
      </c>
      <c r="F45" s="1">
        <v>162</v>
      </c>
      <c r="G45" s="1">
        <v>534</v>
      </c>
      <c r="H45" s="1">
        <v>460</v>
      </c>
      <c r="I45" s="7">
        <f t="shared" si="1"/>
        <v>36841.348314606745</v>
      </c>
      <c r="J45" s="20">
        <f t="shared" si="2"/>
        <v>80813.188314606741</v>
      </c>
      <c r="K45" s="7">
        <f t="shared" si="12"/>
        <v>306.11056179775278</v>
      </c>
      <c r="O45" s="1" t="s">
        <v>78</v>
      </c>
      <c r="P45" s="1">
        <v>270</v>
      </c>
      <c r="Q45" s="1">
        <v>0.96</v>
      </c>
      <c r="R45" s="1">
        <v>173.5</v>
      </c>
      <c r="S45" s="16">
        <f t="shared" si="4"/>
        <v>44971.199999999997</v>
      </c>
      <c r="T45" s="1">
        <v>162</v>
      </c>
      <c r="U45" s="1">
        <v>534</v>
      </c>
      <c r="V45" s="1">
        <v>460</v>
      </c>
      <c r="W45" s="7">
        <f t="shared" ref="W45:W46" si="28">T45/U45*P45*V45</f>
        <v>37678.651685393263</v>
      </c>
      <c r="X45" s="20">
        <f t="shared" ref="X45:X46" si="29">W45+S45</f>
        <v>82649.851685393252</v>
      </c>
      <c r="Y45" s="7">
        <f t="shared" ref="Y45:Y46" si="30">X45/P45</f>
        <v>306.11056179775278</v>
      </c>
    </row>
    <row r="46" spans="1:25">
      <c r="A46" s="1" t="s">
        <v>49</v>
      </c>
      <c r="B46" s="1">
        <v>563</v>
      </c>
      <c r="C46" s="1">
        <v>0.96</v>
      </c>
      <c r="D46" s="1">
        <v>173.5</v>
      </c>
      <c r="E46" s="16">
        <f t="shared" si="0"/>
        <v>93773.28</v>
      </c>
      <c r="F46" s="1">
        <v>345</v>
      </c>
      <c r="G46" s="1">
        <v>1133</v>
      </c>
      <c r="H46" s="1">
        <v>460</v>
      </c>
      <c r="I46" s="7">
        <f t="shared" si="1"/>
        <v>78859.75286849073</v>
      </c>
      <c r="J46" s="20">
        <f t="shared" si="2"/>
        <v>172633.03286849073</v>
      </c>
      <c r="K46" s="7">
        <f t="shared" si="12"/>
        <v>306.63060900264782</v>
      </c>
      <c r="O46" s="1" t="s">
        <v>49</v>
      </c>
      <c r="P46" s="1">
        <v>570</v>
      </c>
      <c r="Q46" s="1">
        <v>0.96</v>
      </c>
      <c r="R46" s="1">
        <v>173.5</v>
      </c>
      <c r="S46" s="16">
        <f t="shared" si="4"/>
        <v>94939.199999999983</v>
      </c>
      <c r="T46" s="1">
        <v>345</v>
      </c>
      <c r="U46" s="1">
        <v>1133</v>
      </c>
      <c r="V46" s="1">
        <v>460</v>
      </c>
      <c r="W46" s="7">
        <f t="shared" si="28"/>
        <v>79840.247131509255</v>
      </c>
      <c r="X46" s="20">
        <f t="shared" si="29"/>
        <v>174779.44713150925</v>
      </c>
      <c r="Y46" s="7">
        <f t="shared" si="30"/>
        <v>306.63060900264782</v>
      </c>
    </row>
    <row r="47" spans="1:25">
      <c r="A47" s="9" t="s">
        <v>82</v>
      </c>
      <c r="B47" s="9">
        <f>SUM(B4:B46)</f>
        <v>17269</v>
      </c>
      <c r="C47" s="1"/>
      <c r="D47" s="1"/>
      <c r="E47" s="16">
        <f>SUM(E4:E46)</f>
        <v>3041881.81</v>
      </c>
      <c r="F47" s="2">
        <f>SUM(F4:F46)</f>
        <v>13258</v>
      </c>
      <c r="G47" s="2">
        <f>SUM(G4:G46)</f>
        <v>34949</v>
      </c>
      <c r="H47" s="1"/>
      <c r="I47" s="27">
        <f>SUM(I4:I39)</f>
        <v>2628295.4533927022</v>
      </c>
      <c r="J47" s="12">
        <f>SUM(J4:J46)</f>
        <v>6059096.0832531191</v>
      </c>
      <c r="K47" s="1"/>
      <c r="O47" s="9" t="s">
        <v>4</v>
      </c>
      <c r="P47" s="9">
        <f>SUM(P4:P46)</f>
        <v>17680</v>
      </c>
      <c r="Q47" s="1"/>
      <c r="R47" s="1"/>
      <c r="S47" s="16">
        <f>SUM(S4:S46)</f>
        <v>3092300.91</v>
      </c>
      <c r="T47" s="2">
        <f>SUM(T4:T46)</f>
        <v>13258</v>
      </c>
      <c r="U47" s="2">
        <f>SUM(U4:U46)</f>
        <v>34949</v>
      </c>
      <c r="V47" s="1"/>
      <c r="W47" s="27">
        <f>SUM(W4:W39)</f>
        <v>2684750.727132651</v>
      </c>
      <c r="X47" s="12">
        <f>SUM(X4:X46)</f>
        <v>6175652.8172722356</v>
      </c>
      <c r="Y47" s="1"/>
    </row>
    <row r="50" spans="16:23">
      <c r="W50" s="39"/>
    </row>
    <row r="52" spans="16:23">
      <c r="W52" s="39"/>
    </row>
    <row r="58" spans="16:23">
      <c r="P58" s="39"/>
    </row>
  </sheetData>
  <mergeCells count="2">
    <mergeCell ref="O1:Y1"/>
    <mergeCell ref="A1:K1"/>
  </mergeCells>
  <pageMargins left="0.28999999999999998" right="0.14000000000000001" top="0.51041666666666663" bottom="0.34" header="9.375E-2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H2"/>
    </sheetView>
  </sheetViews>
  <sheetFormatPr defaultRowHeight="15"/>
  <cols>
    <col min="7" max="7" width="9.7109375" customWidth="1"/>
    <col min="9" max="9" width="9.28515625" customWidth="1"/>
  </cols>
  <sheetData>
    <row r="1" spans="1:24" ht="18.75">
      <c r="A1" s="520" t="s">
        <v>65</v>
      </c>
      <c r="B1" s="520"/>
      <c r="C1" s="520"/>
      <c r="D1" s="520"/>
      <c r="E1" s="520"/>
      <c r="F1" s="520"/>
      <c r="G1" s="520"/>
      <c r="H1" s="520"/>
      <c r="I1" s="40"/>
      <c r="J1" s="40"/>
      <c r="K1" s="40"/>
      <c r="N1" s="520" t="s">
        <v>64</v>
      </c>
      <c r="O1" s="520"/>
      <c r="P1" s="520"/>
      <c r="Q1" s="520"/>
      <c r="R1" s="520"/>
      <c r="S1" s="520"/>
      <c r="T1" s="520"/>
      <c r="U1" s="520"/>
      <c r="V1" s="40"/>
      <c r="W1" s="40"/>
      <c r="X1" s="40"/>
    </row>
    <row r="2" spans="1:24" ht="18.75">
      <c r="A2" s="520"/>
      <c r="B2" s="520"/>
      <c r="C2" s="520"/>
      <c r="D2" s="520"/>
      <c r="E2" s="520"/>
      <c r="F2" s="520"/>
      <c r="G2" s="520"/>
      <c r="H2" s="520"/>
      <c r="I2" s="40"/>
      <c r="J2" s="40" t="s">
        <v>66</v>
      </c>
      <c r="K2" s="41">
        <v>44549</v>
      </c>
      <c r="N2" s="520"/>
      <c r="O2" s="520"/>
      <c r="P2" s="520"/>
      <c r="Q2" s="520"/>
      <c r="R2" s="520"/>
      <c r="S2" s="520"/>
      <c r="T2" s="520"/>
      <c r="U2" s="520"/>
      <c r="V2" s="40"/>
      <c r="W2" s="40" t="s">
        <v>66</v>
      </c>
      <c r="X2" s="41">
        <v>44549</v>
      </c>
    </row>
    <row r="3" spans="1:24" ht="31.5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6" t="s">
        <v>7</v>
      </c>
      <c r="I3" s="5" t="s">
        <v>8</v>
      </c>
      <c r="J3" s="6" t="s">
        <v>9</v>
      </c>
      <c r="K3" s="6" t="s">
        <v>10</v>
      </c>
      <c r="N3" s="5" t="s">
        <v>0</v>
      </c>
      <c r="O3" s="6" t="s">
        <v>80</v>
      </c>
      <c r="P3" s="5" t="s">
        <v>2</v>
      </c>
      <c r="Q3" s="5" t="s">
        <v>3</v>
      </c>
      <c r="R3" s="5" t="s">
        <v>4</v>
      </c>
      <c r="S3" s="6" t="s">
        <v>5</v>
      </c>
      <c r="T3" s="5" t="s">
        <v>6</v>
      </c>
      <c r="U3" s="6" t="s">
        <v>7</v>
      </c>
      <c r="V3" s="5" t="s">
        <v>8</v>
      </c>
      <c r="W3" s="6" t="s">
        <v>9</v>
      </c>
      <c r="X3" s="6" t="s">
        <v>10</v>
      </c>
    </row>
    <row r="4" spans="1:24">
      <c r="A4" s="2" t="s">
        <v>83</v>
      </c>
      <c r="B4" s="1"/>
      <c r="C4" s="1"/>
      <c r="D4" s="1"/>
      <c r="E4" s="1"/>
      <c r="F4" s="1"/>
      <c r="G4" s="1"/>
      <c r="H4" s="1"/>
      <c r="I4" s="1"/>
      <c r="J4" s="1"/>
      <c r="K4" s="1"/>
      <c r="N4" s="2" t="s">
        <v>83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84</v>
      </c>
      <c r="B5" s="1">
        <v>210</v>
      </c>
      <c r="C5" s="1">
        <v>2.86</v>
      </c>
      <c r="D5" s="1">
        <v>175</v>
      </c>
      <c r="E5" s="1">
        <f>B5*C5*D5</f>
        <v>105105</v>
      </c>
      <c r="F5" s="1">
        <v>251</v>
      </c>
      <c r="G5" s="1">
        <v>405</v>
      </c>
      <c r="H5" s="1">
        <v>630</v>
      </c>
      <c r="I5" s="7">
        <f>F5/G5*B5*H5</f>
        <v>81993.333333333343</v>
      </c>
      <c r="J5" s="7">
        <f>I5+E5</f>
        <v>187098.33333333334</v>
      </c>
      <c r="K5" s="7">
        <f>J5/B5</f>
        <v>890.94444444444446</v>
      </c>
      <c r="N5" s="1" t="s">
        <v>84</v>
      </c>
      <c r="O5" s="1">
        <v>195</v>
      </c>
      <c r="P5" s="1">
        <v>2.86</v>
      </c>
      <c r="Q5" s="1">
        <v>175</v>
      </c>
      <c r="R5" s="1">
        <f>O5*P5*Q5</f>
        <v>97597.499999999985</v>
      </c>
      <c r="S5" s="1">
        <v>251</v>
      </c>
      <c r="T5" s="1">
        <v>405</v>
      </c>
      <c r="U5" s="1">
        <v>630</v>
      </c>
      <c r="V5" s="7">
        <f>S5/T5*O5*U5</f>
        <v>76136.666666666672</v>
      </c>
      <c r="W5" s="7">
        <f>V5+R5</f>
        <v>173734.16666666666</v>
      </c>
      <c r="X5" s="7">
        <f>W5/O5</f>
        <v>890.94444444444434</v>
      </c>
    </row>
    <row r="6" spans="1:24">
      <c r="A6" s="1" t="s">
        <v>85</v>
      </c>
      <c r="B6" s="1">
        <v>164</v>
      </c>
      <c r="C6" s="1">
        <v>3.29</v>
      </c>
      <c r="D6" s="1">
        <v>175</v>
      </c>
      <c r="E6" s="1">
        <f t="shared" ref="E6:E22" si="0">B6*C6*D6</f>
        <v>94423.000000000015</v>
      </c>
      <c r="F6" s="1">
        <v>211</v>
      </c>
      <c r="G6" s="1">
        <v>314</v>
      </c>
      <c r="H6" s="1">
        <v>630</v>
      </c>
      <c r="I6" s="7">
        <f t="shared" ref="I6:I24" si="1">F6/G6*B6*H6</f>
        <v>69428.407643312094</v>
      </c>
      <c r="J6" s="7">
        <f t="shared" ref="J6:J24" si="2">I6+E6</f>
        <v>163851.40764331212</v>
      </c>
      <c r="K6" s="7">
        <f t="shared" ref="K6:K24" si="3">J6/B6</f>
        <v>999.09394904458611</v>
      </c>
      <c r="N6" s="1" t="s">
        <v>85</v>
      </c>
      <c r="O6" s="1">
        <v>150</v>
      </c>
      <c r="P6" s="1">
        <v>3.29</v>
      </c>
      <c r="Q6" s="1">
        <v>175</v>
      </c>
      <c r="R6" s="1">
        <f t="shared" ref="R6:R9" si="4">O6*P6*Q6</f>
        <v>86362.5</v>
      </c>
      <c r="S6" s="1">
        <v>211</v>
      </c>
      <c r="T6" s="1">
        <v>314</v>
      </c>
      <c r="U6" s="1">
        <v>630</v>
      </c>
      <c r="V6" s="7">
        <f t="shared" ref="V6:V9" si="5">S6/T6*O6*U6</f>
        <v>63501.592356687892</v>
      </c>
      <c r="W6" s="7">
        <f t="shared" ref="W6:W9" si="6">V6+R6</f>
        <v>149864.09235668788</v>
      </c>
      <c r="X6" s="7">
        <f t="shared" ref="X6:X9" si="7">W6/O6</f>
        <v>999.09394904458588</v>
      </c>
    </row>
    <row r="7" spans="1:24">
      <c r="A7" s="1" t="s">
        <v>86</v>
      </c>
      <c r="B7" s="1">
        <v>160</v>
      </c>
      <c r="C7" s="1">
        <v>3.29</v>
      </c>
      <c r="D7" s="1">
        <v>175</v>
      </c>
      <c r="E7" s="1">
        <f t="shared" si="0"/>
        <v>92120</v>
      </c>
      <c r="F7" s="1">
        <v>228</v>
      </c>
      <c r="G7" s="1">
        <v>310</v>
      </c>
      <c r="H7" s="1">
        <v>630</v>
      </c>
      <c r="I7" s="7">
        <f t="shared" si="1"/>
        <v>74136.774193548379</v>
      </c>
      <c r="J7" s="7">
        <f t="shared" si="2"/>
        <v>166256.77419354836</v>
      </c>
      <c r="K7" s="7">
        <f t="shared" si="3"/>
        <v>1039.1048387096773</v>
      </c>
      <c r="N7" s="1" t="s">
        <v>86</v>
      </c>
      <c r="O7" s="1">
        <v>150</v>
      </c>
      <c r="P7" s="1">
        <v>3.29</v>
      </c>
      <c r="Q7" s="1">
        <v>175</v>
      </c>
      <c r="R7" s="1">
        <f t="shared" si="4"/>
        <v>86362.5</v>
      </c>
      <c r="S7" s="1">
        <v>228</v>
      </c>
      <c r="T7" s="1">
        <v>310</v>
      </c>
      <c r="U7" s="1">
        <v>630</v>
      </c>
      <c r="V7" s="7">
        <f t="shared" si="5"/>
        <v>69503.225806451621</v>
      </c>
      <c r="W7" s="7">
        <f t="shared" si="6"/>
        <v>155865.72580645164</v>
      </c>
      <c r="X7" s="7">
        <f t="shared" si="7"/>
        <v>1039.1048387096776</v>
      </c>
    </row>
    <row r="8" spans="1:24">
      <c r="A8" s="1" t="s">
        <v>87</v>
      </c>
      <c r="B8" s="1">
        <v>166</v>
      </c>
      <c r="C8" s="1">
        <v>3.29</v>
      </c>
      <c r="D8" s="1">
        <v>175</v>
      </c>
      <c r="E8" s="1">
        <f t="shared" si="0"/>
        <v>95574.5</v>
      </c>
      <c r="F8" s="1">
        <v>230</v>
      </c>
      <c r="G8" s="1">
        <v>316</v>
      </c>
      <c r="H8" s="1">
        <v>630</v>
      </c>
      <c r="I8" s="7">
        <f t="shared" si="1"/>
        <v>76118.354430379739</v>
      </c>
      <c r="J8" s="7">
        <f t="shared" si="2"/>
        <v>171692.85443037975</v>
      </c>
      <c r="K8" s="7">
        <f t="shared" si="3"/>
        <v>1034.2943037974685</v>
      </c>
      <c r="N8" s="1" t="s">
        <v>87</v>
      </c>
      <c r="O8" s="1">
        <v>150</v>
      </c>
      <c r="P8" s="1">
        <v>3.29</v>
      </c>
      <c r="Q8" s="1">
        <v>175</v>
      </c>
      <c r="R8" s="1">
        <f t="shared" si="4"/>
        <v>86362.5</v>
      </c>
      <c r="S8" s="1">
        <v>230</v>
      </c>
      <c r="T8" s="1">
        <v>316</v>
      </c>
      <c r="U8" s="1">
        <v>630</v>
      </c>
      <c r="V8" s="7">
        <f t="shared" si="5"/>
        <v>68781.645569620261</v>
      </c>
      <c r="W8" s="7">
        <f t="shared" si="6"/>
        <v>155144.14556962025</v>
      </c>
      <c r="X8" s="7">
        <f t="shared" si="7"/>
        <v>1034.2943037974683</v>
      </c>
    </row>
    <row r="9" spans="1:24">
      <c r="A9" s="1" t="s">
        <v>88</v>
      </c>
      <c r="B9" s="1">
        <v>150</v>
      </c>
      <c r="C9" s="1">
        <v>3.29</v>
      </c>
      <c r="D9" s="1">
        <v>175</v>
      </c>
      <c r="E9" s="1">
        <f t="shared" si="0"/>
        <v>86362.5</v>
      </c>
      <c r="F9" s="1">
        <v>204</v>
      </c>
      <c r="G9" s="1">
        <v>300</v>
      </c>
      <c r="H9" s="1">
        <v>630</v>
      </c>
      <c r="I9" s="7">
        <f t="shared" si="1"/>
        <v>64260.000000000007</v>
      </c>
      <c r="J9" s="7">
        <f t="shared" si="2"/>
        <v>150622.5</v>
      </c>
      <c r="K9" s="7">
        <f t="shared" si="3"/>
        <v>1004.15</v>
      </c>
      <c r="N9" s="1" t="s">
        <v>88</v>
      </c>
      <c r="O9" s="1">
        <v>150</v>
      </c>
      <c r="P9" s="1">
        <v>3.29</v>
      </c>
      <c r="Q9" s="1">
        <v>175</v>
      </c>
      <c r="R9" s="1">
        <f t="shared" si="4"/>
        <v>86362.5</v>
      </c>
      <c r="S9" s="1">
        <v>204</v>
      </c>
      <c r="T9" s="1">
        <v>300</v>
      </c>
      <c r="U9" s="1">
        <v>630</v>
      </c>
      <c r="V9" s="7">
        <f t="shared" si="5"/>
        <v>64260.000000000007</v>
      </c>
      <c r="W9" s="7">
        <f t="shared" si="6"/>
        <v>150622.5</v>
      </c>
      <c r="X9" s="7">
        <f t="shared" si="7"/>
        <v>1004.15</v>
      </c>
    </row>
    <row r="10" spans="1:24">
      <c r="A10" s="2" t="s">
        <v>42</v>
      </c>
      <c r="B10" s="1"/>
      <c r="C10" s="1"/>
      <c r="D10" s="1"/>
      <c r="E10" s="1"/>
      <c r="F10" s="1"/>
      <c r="G10" s="1"/>
      <c r="H10" s="1"/>
      <c r="I10" s="7"/>
      <c r="J10" s="7"/>
      <c r="K10" s="7"/>
      <c r="N10" s="2" t="s">
        <v>42</v>
      </c>
      <c r="O10" s="1"/>
      <c r="P10" s="1"/>
      <c r="Q10" s="1"/>
      <c r="R10" s="1"/>
      <c r="S10" s="1"/>
      <c r="T10" s="1"/>
      <c r="U10" s="1"/>
      <c r="V10" s="7"/>
      <c r="W10" s="7"/>
      <c r="X10" s="7"/>
    </row>
    <row r="11" spans="1:24">
      <c r="A11" s="11" t="s">
        <v>63</v>
      </c>
      <c r="B11" s="1">
        <v>116</v>
      </c>
      <c r="C11" s="1">
        <v>4.3</v>
      </c>
      <c r="D11" s="1">
        <v>175</v>
      </c>
      <c r="E11" s="1">
        <f t="shared" si="0"/>
        <v>87289.999999999985</v>
      </c>
      <c r="F11" s="1">
        <v>182</v>
      </c>
      <c r="G11" s="1">
        <v>206</v>
      </c>
      <c r="H11" s="1">
        <v>630</v>
      </c>
      <c r="I11" s="7">
        <f t="shared" si="1"/>
        <v>64565.825242718449</v>
      </c>
      <c r="J11" s="7">
        <f t="shared" si="2"/>
        <v>151855.82524271845</v>
      </c>
      <c r="K11" s="7">
        <f t="shared" si="3"/>
        <v>1309.1019417475729</v>
      </c>
      <c r="N11" s="11" t="s">
        <v>63</v>
      </c>
      <c r="O11" s="1">
        <v>90</v>
      </c>
      <c r="P11" s="1">
        <v>4.3</v>
      </c>
      <c r="Q11" s="1">
        <v>175</v>
      </c>
      <c r="R11" s="1">
        <f t="shared" ref="R11:R14" si="8">O11*P11*Q11</f>
        <v>67725</v>
      </c>
      <c r="S11" s="1">
        <v>182</v>
      </c>
      <c r="T11" s="1">
        <v>206</v>
      </c>
      <c r="U11" s="1">
        <v>630</v>
      </c>
      <c r="V11" s="7">
        <f t="shared" ref="V11:V14" si="9">S11/T11*O11*U11</f>
        <v>50094.174757281551</v>
      </c>
      <c r="W11" s="7">
        <f t="shared" ref="W11:W14" si="10">V11+R11</f>
        <v>117819.17475728155</v>
      </c>
      <c r="X11" s="7">
        <f t="shared" ref="X11:X14" si="11">W11/O11</f>
        <v>1309.1019417475727</v>
      </c>
    </row>
    <row r="12" spans="1:24">
      <c r="A12" s="1" t="s">
        <v>48</v>
      </c>
      <c r="B12" s="1">
        <v>178</v>
      </c>
      <c r="C12" s="1">
        <v>4.3</v>
      </c>
      <c r="D12" s="1">
        <v>175</v>
      </c>
      <c r="E12" s="1">
        <f t="shared" si="0"/>
        <v>133945</v>
      </c>
      <c r="F12" s="1">
        <v>282</v>
      </c>
      <c r="G12" s="1">
        <v>312</v>
      </c>
      <c r="H12" s="1">
        <v>630</v>
      </c>
      <c r="I12" s="7">
        <f t="shared" si="1"/>
        <v>101357.30769230769</v>
      </c>
      <c r="J12" s="7">
        <f t="shared" si="2"/>
        <v>235302.30769230769</v>
      </c>
      <c r="K12" s="7">
        <f t="shared" si="3"/>
        <v>1321.9230769230769</v>
      </c>
      <c r="N12" s="1" t="s">
        <v>48</v>
      </c>
      <c r="O12" s="1">
        <v>134</v>
      </c>
      <c r="P12" s="1">
        <v>4.3</v>
      </c>
      <c r="Q12" s="1">
        <v>175</v>
      </c>
      <c r="R12" s="1">
        <f t="shared" si="8"/>
        <v>100834.99999999999</v>
      </c>
      <c r="S12" s="1">
        <v>282</v>
      </c>
      <c r="T12" s="1">
        <v>312</v>
      </c>
      <c r="U12" s="1">
        <v>630</v>
      </c>
      <c r="V12" s="7">
        <f t="shared" si="9"/>
        <v>76302.692307692312</v>
      </c>
      <c r="W12" s="7">
        <f t="shared" si="10"/>
        <v>177137.69230769231</v>
      </c>
      <c r="X12" s="7">
        <f t="shared" si="11"/>
        <v>1321.9230769230769</v>
      </c>
    </row>
    <row r="13" spans="1:24">
      <c r="A13" s="2" t="s">
        <v>25</v>
      </c>
      <c r="B13" s="1">
        <v>152</v>
      </c>
      <c r="C13" s="1">
        <v>4.3</v>
      </c>
      <c r="D13" s="1">
        <v>175</v>
      </c>
      <c r="E13" s="1">
        <f t="shared" si="0"/>
        <v>114380</v>
      </c>
      <c r="F13" s="1">
        <v>225</v>
      </c>
      <c r="G13" s="1">
        <v>272</v>
      </c>
      <c r="H13" s="1">
        <v>630</v>
      </c>
      <c r="I13" s="7">
        <f t="shared" si="1"/>
        <v>79213.235294117636</v>
      </c>
      <c r="J13" s="7">
        <f t="shared" si="2"/>
        <v>193593.23529411765</v>
      </c>
      <c r="K13" s="7">
        <f t="shared" si="3"/>
        <v>1273.6397058823529</v>
      </c>
      <c r="N13" s="2" t="s">
        <v>25</v>
      </c>
      <c r="O13" s="1">
        <v>120</v>
      </c>
      <c r="P13" s="1">
        <v>4.3</v>
      </c>
      <c r="Q13" s="1">
        <v>175</v>
      </c>
      <c r="R13" s="1">
        <f t="shared" si="8"/>
        <v>90300</v>
      </c>
      <c r="S13" s="1">
        <v>225</v>
      </c>
      <c r="T13" s="1">
        <v>272</v>
      </c>
      <c r="U13" s="1">
        <v>630</v>
      </c>
      <c r="V13" s="7">
        <f t="shared" si="9"/>
        <v>62536.764705882342</v>
      </c>
      <c r="W13" s="7">
        <f t="shared" si="10"/>
        <v>152836.76470588235</v>
      </c>
      <c r="X13" s="7">
        <f t="shared" si="11"/>
        <v>1273.6397058823529</v>
      </c>
    </row>
    <row r="14" spans="1:24">
      <c r="A14" s="1" t="s">
        <v>28</v>
      </c>
      <c r="B14" s="1">
        <v>93</v>
      </c>
      <c r="C14" s="1">
        <v>4.3</v>
      </c>
      <c r="D14" s="1">
        <v>175</v>
      </c>
      <c r="E14" s="1">
        <f t="shared" si="0"/>
        <v>69982.5</v>
      </c>
      <c r="F14" s="1">
        <v>150</v>
      </c>
      <c r="G14" s="1">
        <v>183</v>
      </c>
      <c r="H14" s="1">
        <v>630</v>
      </c>
      <c r="I14" s="7">
        <f t="shared" si="1"/>
        <v>48024.59016393443</v>
      </c>
      <c r="J14" s="7">
        <f t="shared" si="2"/>
        <v>118007.09016393442</v>
      </c>
      <c r="K14" s="7">
        <f t="shared" si="3"/>
        <v>1268.8934426229507</v>
      </c>
      <c r="N14" s="1" t="s">
        <v>28</v>
      </c>
      <c r="O14" s="1">
        <v>90</v>
      </c>
      <c r="P14" s="1">
        <v>4.3</v>
      </c>
      <c r="Q14" s="1">
        <v>175</v>
      </c>
      <c r="R14" s="1">
        <f t="shared" si="8"/>
        <v>67725</v>
      </c>
      <c r="S14" s="1">
        <v>150</v>
      </c>
      <c r="T14" s="1">
        <v>183</v>
      </c>
      <c r="U14" s="1">
        <v>630</v>
      </c>
      <c r="V14" s="7">
        <f t="shared" si="9"/>
        <v>46475.40983606557</v>
      </c>
      <c r="W14" s="7">
        <f t="shared" si="10"/>
        <v>114200.40983606558</v>
      </c>
      <c r="X14" s="7">
        <f t="shared" si="11"/>
        <v>1268.8934426229509</v>
      </c>
    </row>
    <row r="15" spans="1:24">
      <c r="A15" s="10" t="s">
        <v>89</v>
      </c>
      <c r="B15" s="1"/>
      <c r="C15" s="1"/>
      <c r="D15" s="1"/>
      <c r="E15" s="1"/>
      <c r="F15" s="1"/>
      <c r="G15" s="1"/>
      <c r="H15" s="1">
        <v>630</v>
      </c>
      <c r="I15" s="7"/>
      <c r="J15" s="7"/>
      <c r="K15" s="7"/>
      <c r="N15" s="10" t="s">
        <v>89</v>
      </c>
      <c r="O15" s="1"/>
      <c r="P15" s="1"/>
      <c r="Q15" s="1"/>
      <c r="R15" s="1"/>
      <c r="S15" s="1"/>
      <c r="T15" s="1"/>
      <c r="U15" s="1">
        <v>630</v>
      </c>
      <c r="V15" s="7"/>
      <c r="W15" s="7"/>
      <c r="X15" s="7"/>
    </row>
    <row r="16" spans="1:24">
      <c r="A16" s="11" t="s">
        <v>48</v>
      </c>
      <c r="B16" s="1">
        <v>152</v>
      </c>
      <c r="C16" s="1">
        <v>4.3</v>
      </c>
      <c r="D16" s="1">
        <v>175</v>
      </c>
      <c r="E16" s="1">
        <f t="shared" si="0"/>
        <v>114380</v>
      </c>
      <c r="F16" s="1">
        <v>251</v>
      </c>
      <c r="G16" s="1">
        <v>302</v>
      </c>
      <c r="H16" s="1">
        <v>630</v>
      </c>
      <c r="I16" s="7">
        <f t="shared" si="1"/>
        <v>79588.609271523179</v>
      </c>
      <c r="J16" s="7">
        <f t="shared" si="2"/>
        <v>193968.60927152319</v>
      </c>
      <c r="K16" s="7">
        <f t="shared" si="3"/>
        <v>1276.1092715231789</v>
      </c>
      <c r="N16" s="11" t="s">
        <v>48</v>
      </c>
      <c r="O16" s="1">
        <v>150</v>
      </c>
      <c r="P16" s="1">
        <v>4.3</v>
      </c>
      <c r="Q16" s="1">
        <v>175</v>
      </c>
      <c r="R16" s="1">
        <f t="shared" ref="R16:R19" si="12">O16*P16*Q16</f>
        <v>112875</v>
      </c>
      <c r="S16" s="1">
        <v>251</v>
      </c>
      <c r="T16" s="1">
        <v>302</v>
      </c>
      <c r="U16" s="1">
        <v>630</v>
      </c>
      <c r="V16" s="7">
        <f t="shared" ref="V16:V19" si="13">S16/T16*O16*U16</f>
        <v>78541.390728476821</v>
      </c>
      <c r="W16" s="7">
        <f t="shared" ref="W16:W19" si="14">V16+R16</f>
        <v>191416.39072847681</v>
      </c>
      <c r="X16" s="7">
        <f t="shared" ref="X16:X19" si="15">W16/O16</f>
        <v>1276.1092715231787</v>
      </c>
    </row>
    <row r="17" spans="1:24">
      <c r="A17" s="11" t="s">
        <v>25</v>
      </c>
      <c r="B17" s="1">
        <v>110</v>
      </c>
      <c r="C17" s="1">
        <v>4.3</v>
      </c>
      <c r="D17" s="1">
        <v>175</v>
      </c>
      <c r="E17" s="1">
        <f t="shared" si="0"/>
        <v>82775</v>
      </c>
      <c r="F17" s="1">
        <v>181</v>
      </c>
      <c r="G17" s="1">
        <v>200</v>
      </c>
      <c r="H17" s="1">
        <v>630</v>
      </c>
      <c r="I17" s="7">
        <f t="shared" si="1"/>
        <v>62716.5</v>
      </c>
      <c r="J17" s="7">
        <f t="shared" si="2"/>
        <v>145491.5</v>
      </c>
      <c r="K17" s="7">
        <f t="shared" si="3"/>
        <v>1322.65</v>
      </c>
      <c r="N17" s="11" t="s">
        <v>25</v>
      </c>
      <c r="O17" s="1">
        <v>90</v>
      </c>
      <c r="P17" s="1">
        <v>4.3</v>
      </c>
      <c r="Q17" s="1">
        <v>175</v>
      </c>
      <c r="R17" s="1">
        <f t="shared" si="12"/>
        <v>67725</v>
      </c>
      <c r="S17" s="1">
        <v>181</v>
      </c>
      <c r="T17" s="1">
        <v>200</v>
      </c>
      <c r="U17" s="1">
        <v>630</v>
      </c>
      <c r="V17" s="7">
        <f t="shared" si="13"/>
        <v>51313.5</v>
      </c>
      <c r="W17" s="7">
        <f t="shared" si="14"/>
        <v>119038.5</v>
      </c>
      <c r="X17" s="7">
        <f t="shared" si="15"/>
        <v>1322.65</v>
      </c>
    </row>
    <row r="18" spans="1:24">
      <c r="A18" s="11" t="s">
        <v>28</v>
      </c>
      <c r="B18" s="1">
        <v>95</v>
      </c>
      <c r="C18" s="1">
        <v>4.3</v>
      </c>
      <c r="D18" s="1">
        <v>175</v>
      </c>
      <c r="E18" s="1">
        <f t="shared" si="0"/>
        <v>71487.5</v>
      </c>
      <c r="F18" s="1">
        <v>153</v>
      </c>
      <c r="G18" s="1">
        <v>184</v>
      </c>
      <c r="H18" s="1">
        <v>630</v>
      </c>
      <c r="I18" s="7">
        <f t="shared" si="1"/>
        <v>49766.576086956527</v>
      </c>
      <c r="J18" s="7">
        <f t="shared" si="2"/>
        <v>121254.07608695653</v>
      </c>
      <c r="K18" s="7">
        <f t="shared" si="3"/>
        <v>1276.358695652174</v>
      </c>
      <c r="N18" s="11" t="s">
        <v>28</v>
      </c>
      <c r="O18" s="1">
        <v>89</v>
      </c>
      <c r="P18" s="1">
        <v>4.3</v>
      </c>
      <c r="Q18" s="1">
        <v>175</v>
      </c>
      <c r="R18" s="1">
        <f t="shared" si="12"/>
        <v>66972.5</v>
      </c>
      <c r="S18" s="1">
        <v>153</v>
      </c>
      <c r="T18" s="1">
        <v>184</v>
      </c>
      <c r="U18" s="1">
        <v>630</v>
      </c>
      <c r="V18" s="7">
        <f t="shared" si="13"/>
        <v>46623.42391304348</v>
      </c>
      <c r="W18" s="7">
        <f t="shared" si="14"/>
        <v>113595.92391304349</v>
      </c>
      <c r="X18" s="7">
        <f t="shared" si="15"/>
        <v>1276.358695652174</v>
      </c>
    </row>
    <row r="19" spans="1:24">
      <c r="A19" s="11" t="s">
        <v>27</v>
      </c>
      <c r="B19" s="1">
        <v>120</v>
      </c>
      <c r="C19" s="1">
        <v>3.58</v>
      </c>
      <c r="D19" s="1">
        <v>175</v>
      </c>
      <c r="E19" s="1">
        <f t="shared" si="0"/>
        <v>75180</v>
      </c>
      <c r="F19" s="1">
        <v>179</v>
      </c>
      <c r="G19" s="1">
        <v>210</v>
      </c>
      <c r="H19" s="1">
        <v>630</v>
      </c>
      <c r="I19" s="7">
        <f t="shared" si="1"/>
        <v>64439.999999999993</v>
      </c>
      <c r="J19" s="7">
        <f t="shared" si="2"/>
        <v>139620</v>
      </c>
      <c r="K19" s="7">
        <f t="shared" si="3"/>
        <v>1163.5</v>
      </c>
      <c r="N19" s="11" t="s">
        <v>27</v>
      </c>
      <c r="O19" s="1">
        <v>90</v>
      </c>
      <c r="P19" s="1">
        <v>3.58</v>
      </c>
      <c r="Q19" s="1">
        <v>175</v>
      </c>
      <c r="R19" s="1">
        <f t="shared" si="12"/>
        <v>56385</v>
      </c>
      <c r="S19" s="1">
        <v>179</v>
      </c>
      <c r="T19" s="1">
        <v>210</v>
      </c>
      <c r="U19" s="1">
        <v>630</v>
      </c>
      <c r="V19" s="7">
        <f t="shared" si="13"/>
        <v>48329.999999999993</v>
      </c>
      <c r="W19" s="7">
        <f t="shared" si="14"/>
        <v>104715</v>
      </c>
      <c r="X19" s="7">
        <f t="shared" si="15"/>
        <v>1163.5</v>
      </c>
    </row>
    <row r="20" spans="1:24">
      <c r="A20" s="2" t="s">
        <v>90</v>
      </c>
      <c r="B20" s="1"/>
      <c r="C20" s="1"/>
      <c r="D20" s="1"/>
      <c r="E20" s="1"/>
      <c r="F20" s="1"/>
      <c r="G20" s="1"/>
      <c r="H20" s="1"/>
      <c r="I20" s="7"/>
      <c r="J20" s="7"/>
      <c r="K20" s="7"/>
      <c r="N20" s="2" t="s">
        <v>90</v>
      </c>
      <c r="O20" s="1"/>
      <c r="P20" s="1"/>
      <c r="Q20" s="1"/>
      <c r="R20" s="1"/>
      <c r="S20" s="1"/>
      <c r="T20" s="1"/>
      <c r="U20" s="1"/>
      <c r="V20" s="7"/>
      <c r="W20" s="7"/>
      <c r="X20" s="7"/>
    </row>
    <row r="21" spans="1:24">
      <c r="A21" s="1" t="s">
        <v>48</v>
      </c>
      <c r="B21" s="1">
        <v>132</v>
      </c>
      <c r="C21" s="1">
        <v>4.3</v>
      </c>
      <c r="D21" s="1">
        <v>175</v>
      </c>
      <c r="E21" s="1">
        <f t="shared" si="0"/>
        <v>99330</v>
      </c>
      <c r="F21" s="1">
        <v>257</v>
      </c>
      <c r="G21" s="1">
        <v>275</v>
      </c>
      <c r="H21" s="1">
        <v>630</v>
      </c>
      <c r="I21" s="7">
        <f t="shared" si="1"/>
        <v>77716.800000000003</v>
      </c>
      <c r="J21" s="7">
        <f t="shared" si="2"/>
        <v>177046.8</v>
      </c>
      <c r="K21" s="7">
        <f t="shared" si="3"/>
        <v>1341.2636363636364</v>
      </c>
      <c r="N21" s="1" t="s">
        <v>48</v>
      </c>
      <c r="O21" s="1">
        <v>143</v>
      </c>
      <c r="P21" s="1">
        <v>4.3</v>
      </c>
      <c r="Q21" s="1">
        <v>175</v>
      </c>
      <c r="R21" s="1">
        <f t="shared" ref="R21:R22" si="16">O21*P21*Q21</f>
        <v>107607.5</v>
      </c>
      <c r="S21" s="1">
        <v>257</v>
      </c>
      <c r="T21" s="1">
        <v>275</v>
      </c>
      <c r="U21" s="1">
        <v>630</v>
      </c>
      <c r="V21" s="7">
        <f t="shared" ref="V21:V24" si="17">S21/T21*O21*U21</f>
        <v>84193.200000000012</v>
      </c>
      <c r="W21" s="7">
        <f t="shared" ref="W21:W24" si="18">V21+R21</f>
        <v>191800.7</v>
      </c>
      <c r="X21" s="7">
        <f t="shared" ref="X21:X24" si="19">W21/O21</f>
        <v>1341.2636363636364</v>
      </c>
    </row>
    <row r="22" spans="1:24">
      <c r="A22" s="1" t="s">
        <v>25</v>
      </c>
      <c r="B22" s="1">
        <v>85</v>
      </c>
      <c r="C22" s="1">
        <v>4.3</v>
      </c>
      <c r="D22" s="1">
        <v>175</v>
      </c>
      <c r="E22" s="1">
        <f t="shared" si="0"/>
        <v>63962.5</v>
      </c>
      <c r="F22" s="1">
        <v>156</v>
      </c>
      <c r="G22" s="1">
        <v>159</v>
      </c>
      <c r="H22" s="1">
        <v>630</v>
      </c>
      <c r="I22" s="7">
        <f t="shared" si="1"/>
        <v>52539.622641509435</v>
      </c>
      <c r="J22" s="7">
        <f t="shared" si="2"/>
        <v>116502.12264150943</v>
      </c>
      <c r="K22" s="7">
        <f t="shared" si="3"/>
        <v>1370.6132075471698</v>
      </c>
      <c r="N22" s="1" t="s">
        <v>25</v>
      </c>
      <c r="O22" s="1">
        <v>74</v>
      </c>
      <c r="P22" s="1">
        <v>4.3</v>
      </c>
      <c r="Q22" s="1">
        <v>175</v>
      </c>
      <c r="R22" s="1">
        <f t="shared" si="16"/>
        <v>55685</v>
      </c>
      <c r="S22" s="1">
        <v>156</v>
      </c>
      <c r="T22" s="1">
        <v>159</v>
      </c>
      <c r="U22" s="1">
        <v>630</v>
      </c>
      <c r="V22" s="7">
        <f t="shared" si="17"/>
        <v>45740.377358490572</v>
      </c>
      <c r="W22" s="7">
        <f t="shared" si="18"/>
        <v>101425.37735849057</v>
      </c>
      <c r="X22" s="7">
        <f t="shared" si="19"/>
        <v>1370.6132075471698</v>
      </c>
    </row>
    <row r="23" spans="1:24">
      <c r="A23" s="1" t="s">
        <v>28</v>
      </c>
      <c r="B23" s="1">
        <v>117</v>
      </c>
      <c r="C23" s="1">
        <v>4.3</v>
      </c>
      <c r="D23" s="1">
        <v>175</v>
      </c>
      <c r="E23" s="1">
        <f>B23*C23*D23</f>
        <v>88042.5</v>
      </c>
      <c r="F23" s="1">
        <v>176</v>
      </c>
      <c r="G23" s="1">
        <v>207</v>
      </c>
      <c r="H23" s="1">
        <v>630</v>
      </c>
      <c r="I23" s="7">
        <f t="shared" si="1"/>
        <v>62671.304347826088</v>
      </c>
      <c r="J23" s="7">
        <f t="shared" si="2"/>
        <v>150713.80434782608</v>
      </c>
      <c r="K23" s="7">
        <f t="shared" si="3"/>
        <v>1288.1521739130435</v>
      </c>
      <c r="N23" s="1" t="s">
        <v>28</v>
      </c>
      <c r="O23" s="1">
        <v>90</v>
      </c>
      <c r="P23" s="1">
        <v>4.3</v>
      </c>
      <c r="Q23" s="1">
        <v>175</v>
      </c>
      <c r="R23" s="1">
        <f>O23*P23*Q23</f>
        <v>67725</v>
      </c>
      <c r="S23" s="1">
        <v>176</v>
      </c>
      <c r="T23" s="1">
        <v>207</v>
      </c>
      <c r="U23" s="1">
        <v>630</v>
      </c>
      <c r="V23" s="7">
        <f t="shared" si="17"/>
        <v>48208.695652173912</v>
      </c>
      <c r="W23" s="7">
        <f t="shared" si="18"/>
        <v>115933.69565217392</v>
      </c>
      <c r="X23" s="7">
        <f t="shared" si="19"/>
        <v>1288.1521739130435</v>
      </c>
    </row>
    <row r="24" spans="1:24">
      <c r="A24" s="1" t="s">
        <v>27</v>
      </c>
      <c r="B24" s="1">
        <v>120</v>
      </c>
      <c r="C24" s="1">
        <v>3.58</v>
      </c>
      <c r="D24" s="1">
        <v>175</v>
      </c>
      <c r="E24" s="1">
        <f>B24*C24*D24</f>
        <v>75180</v>
      </c>
      <c r="F24" s="1">
        <v>171</v>
      </c>
      <c r="G24" s="1">
        <v>210</v>
      </c>
      <c r="H24" s="1">
        <v>630</v>
      </c>
      <c r="I24" s="7">
        <f t="shared" si="1"/>
        <v>61559.999999999993</v>
      </c>
      <c r="J24" s="7">
        <f t="shared" si="2"/>
        <v>136740</v>
      </c>
      <c r="K24" s="7">
        <f t="shared" si="3"/>
        <v>1139.5</v>
      </c>
      <c r="N24" s="1" t="s">
        <v>27</v>
      </c>
      <c r="O24" s="1">
        <v>90</v>
      </c>
      <c r="P24" s="1">
        <v>3.58</v>
      </c>
      <c r="Q24" s="1">
        <v>175</v>
      </c>
      <c r="R24" s="1">
        <f>O24*P24*Q24</f>
        <v>56385</v>
      </c>
      <c r="S24" s="1">
        <v>171</v>
      </c>
      <c r="T24" s="1">
        <v>210</v>
      </c>
      <c r="U24" s="1">
        <v>630</v>
      </c>
      <c r="V24" s="7">
        <f t="shared" si="17"/>
        <v>46170.000000000007</v>
      </c>
      <c r="W24" s="7">
        <f t="shared" si="18"/>
        <v>102555</v>
      </c>
      <c r="X24" s="7">
        <f t="shared" si="19"/>
        <v>1139.5</v>
      </c>
    </row>
    <row r="25" spans="1:24" ht="30">
      <c r="A25" s="3" t="s">
        <v>9</v>
      </c>
      <c r="B25" s="2">
        <f>SUM(B5:B24)</f>
        <v>2320</v>
      </c>
      <c r="C25" s="2"/>
      <c r="D25" s="2"/>
      <c r="E25" s="2">
        <f>SUM(E5:E24)</f>
        <v>1549520</v>
      </c>
      <c r="F25" s="2">
        <f>SUM(F5:F24)</f>
        <v>3487</v>
      </c>
      <c r="G25" s="2">
        <f>SUM(G5:G24)</f>
        <v>4365</v>
      </c>
      <c r="H25" s="2"/>
      <c r="I25" s="42">
        <f>SUM(I5:I24)</f>
        <v>1170097.2403414671</v>
      </c>
      <c r="J25" s="27">
        <f>SUM(J5:J24)</f>
        <v>2719617.2403414669</v>
      </c>
      <c r="K25" s="1"/>
      <c r="N25" s="3" t="s">
        <v>9</v>
      </c>
      <c r="O25" s="2">
        <f>SUM(O5:O24)</f>
        <v>2045</v>
      </c>
      <c r="P25" s="2"/>
      <c r="Q25" s="2"/>
      <c r="R25" s="2">
        <f>SUM(R5:R24)</f>
        <v>1360992.5</v>
      </c>
      <c r="S25" s="2">
        <f>SUM(S5:S24)</f>
        <v>3487</v>
      </c>
      <c r="T25" s="2">
        <f>SUM(T5:T24)</f>
        <v>4365</v>
      </c>
      <c r="U25" s="2"/>
      <c r="V25" s="42">
        <f>SUM(V5:V24)</f>
        <v>1026712.759658533</v>
      </c>
      <c r="W25" s="27">
        <f>SUM(W5:W24)</f>
        <v>2387705.2596585327</v>
      </c>
      <c r="X25" s="1"/>
    </row>
  </sheetData>
  <mergeCells count="2">
    <mergeCell ref="A1:H2"/>
    <mergeCell ref="N1:U2"/>
  </mergeCells>
  <pageMargins left="0.7" right="0.56999999999999995" top="0.75" bottom="0.75" header="0.3" footer="0.3"/>
  <pageSetup paperSize="9" scale="1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opLeftCell="H9" workbookViewId="0">
      <selection activeCell="P32" sqref="P32"/>
    </sheetView>
  </sheetViews>
  <sheetFormatPr defaultRowHeight="15"/>
  <cols>
    <col min="1" max="1" width="12" customWidth="1"/>
  </cols>
  <sheetData>
    <row r="1" spans="1:27" ht="27">
      <c r="A1" s="545" t="s">
        <v>107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7"/>
      <c r="P1" s="545" t="s">
        <v>64</v>
      </c>
      <c r="Q1" s="546"/>
      <c r="R1" s="546"/>
      <c r="S1" s="546"/>
      <c r="T1" s="546"/>
      <c r="U1" s="546"/>
      <c r="V1" s="546"/>
      <c r="W1" s="546"/>
      <c r="X1" s="546"/>
      <c r="Y1" s="546"/>
      <c r="Z1" s="546"/>
      <c r="AA1" s="547"/>
    </row>
    <row r="2" spans="1:27" ht="32.25">
      <c r="A2" s="548" t="s">
        <v>0</v>
      </c>
      <c r="B2" s="548"/>
      <c r="C2" s="5" t="s">
        <v>1</v>
      </c>
      <c r="D2" s="5" t="s">
        <v>2</v>
      </c>
      <c r="E2" s="5" t="s">
        <v>3</v>
      </c>
      <c r="F2" s="14" t="s">
        <v>4</v>
      </c>
      <c r="G2" s="87" t="s">
        <v>5</v>
      </c>
      <c r="H2" s="88" t="s">
        <v>6</v>
      </c>
      <c r="I2" s="87" t="s">
        <v>7</v>
      </c>
      <c r="J2" s="88" t="s">
        <v>8</v>
      </c>
      <c r="K2" s="89" t="s">
        <v>9</v>
      </c>
      <c r="L2" s="87" t="s">
        <v>10</v>
      </c>
      <c r="P2" s="548" t="s">
        <v>0</v>
      </c>
      <c r="Q2" s="548"/>
      <c r="R2" s="5" t="s">
        <v>1</v>
      </c>
      <c r="S2" s="5" t="s">
        <v>2</v>
      </c>
      <c r="T2" s="5" t="s">
        <v>3</v>
      </c>
      <c r="U2" s="14" t="s">
        <v>4</v>
      </c>
      <c r="V2" s="6" t="s">
        <v>5</v>
      </c>
      <c r="W2" s="5" t="s">
        <v>6</v>
      </c>
      <c r="X2" s="6" t="s">
        <v>7</v>
      </c>
      <c r="Y2" s="5" t="s">
        <v>8</v>
      </c>
      <c r="Z2" s="18" t="s">
        <v>9</v>
      </c>
      <c r="AA2" s="6" t="s">
        <v>10</v>
      </c>
    </row>
    <row r="3" spans="1:27">
      <c r="A3" s="521" t="s">
        <v>104</v>
      </c>
      <c r="B3" s="43" t="s">
        <v>94</v>
      </c>
      <c r="C3" s="43">
        <v>1494</v>
      </c>
      <c r="D3" s="43">
        <v>1.66</v>
      </c>
      <c r="E3" s="1">
        <v>179</v>
      </c>
      <c r="F3" s="16">
        <f>C3*D3*E3</f>
        <v>443927.16</v>
      </c>
      <c r="G3" s="537">
        <v>4125</v>
      </c>
      <c r="H3" s="537">
        <v>7884</v>
      </c>
      <c r="I3" s="527">
        <v>465</v>
      </c>
      <c r="J3" s="525">
        <f>G3/H3*SUM(C3:C7)*I3</f>
        <v>959549.08675799076</v>
      </c>
      <c r="K3" s="531">
        <f>J3+SUM(F3:F7)</f>
        <v>2153611.5467579905</v>
      </c>
      <c r="L3" s="525">
        <f>K3/SUM(C3:C7)</f>
        <v>546.0475524234256</v>
      </c>
      <c r="M3" s="91"/>
      <c r="N3" s="45"/>
      <c r="P3" s="521" t="s">
        <v>104</v>
      </c>
      <c r="Q3" s="43" t="s">
        <v>94</v>
      </c>
      <c r="R3" s="43">
        <v>1500</v>
      </c>
      <c r="S3" s="43">
        <v>1.66</v>
      </c>
      <c r="T3" s="1">
        <v>179</v>
      </c>
      <c r="U3" s="16">
        <f>R3*S3*T3</f>
        <v>445710</v>
      </c>
      <c r="V3" s="537">
        <v>4125</v>
      </c>
      <c r="W3" s="537">
        <v>7884</v>
      </c>
      <c r="X3" s="527">
        <v>465</v>
      </c>
      <c r="Y3" s="525">
        <f>V3/W3*SUM(R3:R7)*X3</f>
        <v>958575.913242009</v>
      </c>
      <c r="Z3" s="542">
        <f>Y3+SUM(U3:U7)</f>
        <v>2151324.5132420091</v>
      </c>
      <c r="AA3" s="525">
        <f>Z3/SUM(R3:R7)</f>
        <v>546.02145006142359</v>
      </c>
    </row>
    <row r="4" spans="1:27">
      <c r="A4" s="521"/>
      <c r="B4" s="43" t="s">
        <v>95</v>
      </c>
      <c r="C4" s="43">
        <v>764</v>
      </c>
      <c r="D4" s="43">
        <v>1.76</v>
      </c>
      <c r="E4" s="1">
        <v>179</v>
      </c>
      <c r="F4" s="16">
        <f t="shared" ref="F4:F31" si="0">C4*D4*E4</f>
        <v>240690.56000000003</v>
      </c>
      <c r="G4" s="538"/>
      <c r="H4" s="538"/>
      <c r="I4" s="534"/>
      <c r="J4" s="533"/>
      <c r="K4" s="536"/>
      <c r="L4" s="533"/>
      <c r="M4" s="91"/>
      <c r="N4" s="45"/>
      <c r="P4" s="521"/>
      <c r="Q4" s="43" t="s">
        <v>95</v>
      </c>
      <c r="R4" s="43">
        <v>750</v>
      </c>
      <c r="S4" s="43">
        <v>1.76</v>
      </c>
      <c r="T4" s="1">
        <v>179</v>
      </c>
      <c r="U4" s="16">
        <f t="shared" ref="U4:U31" si="1">R4*S4*T4</f>
        <v>236280</v>
      </c>
      <c r="V4" s="538"/>
      <c r="W4" s="538"/>
      <c r="X4" s="534"/>
      <c r="Y4" s="533"/>
      <c r="Z4" s="543"/>
      <c r="AA4" s="533"/>
    </row>
    <row r="5" spans="1:27">
      <c r="A5" s="521"/>
      <c r="B5" s="43" t="s">
        <v>96</v>
      </c>
      <c r="C5" s="43">
        <v>613</v>
      </c>
      <c r="D5" s="43">
        <v>1.66</v>
      </c>
      <c r="E5" s="1">
        <v>179</v>
      </c>
      <c r="F5" s="16">
        <f t="shared" si="0"/>
        <v>182146.81999999998</v>
      </c>
      <c r="G5" s="538"/>
      <c r="H5" s="538"/>
      <c r="I5" s="534"/>
      <c r="J5" s="533"/>
      <c r="K5" s="536"/>
      <c r="L5" s="533"/>
      <c r="M5" s="91"/>
      <c r="N5" s="45"/>
      <c r="P5" s="521"/>
      <c r="Q5" s="43" t="s">
        <v>96</v>
      </c>
      <c r="R5" s="43">
        <v>600</v>
      </c>
      <c r="S5" s="43">
        <v>1.66</v>
      </c>
      <c r="T5" s="1">
        <v>179</v>
      </c>
      <c r="U5" s="16">
        <f t="shared" si="1"/>
        <v>178284</v>
      </c>
      <c r="V5" s="538"/>
      <c r="W5" s="538"/>
      <c r="X5" s="534"/>
      <c r="Y5" s="533"/>
      <c r="Z5" s="543"/>
      <c r="AA5" s="533"/>
    </row>
    <row r="6" spans="1:27">
      <c r="A6" s="521"/>
      <c r="B6" s="43" t="s">
        <v>97</v>
      </c>
      <c r="C6" s="43">
        <v>473</v>
      </c>
      <c r="D6" s="43">
        <v>1.76</v>
      </c>
      <c r="E6" s="1">
        <v>179</v>
      </c>
      <c r="F6" s="16">
        <f t="shared" si="0"/>
        <v>149013.92000000001</v>
      </c>
      <c r="G6" s="538"/>
      <c r="H6" s="538"/>
      <c r="I6" s="534"/>
      <c r="J6" s="533"/>
      <c r="K6" s="536"/>
      <c r="L6" s="533"/>
      <c r="M6" s="91"/>
      <c r="N6" s="45"/>
      <c r="P6" s="521"/>
      <c r="Q6" s="43" t="s">
        <v>97</v>
      </c>
      <c r="R6" s="43">
        <v>480</v>
      </c>
      <c r="S6" s="43">
        <v>1.76</v>
      </c>
      <c r="T6" s="1">
        <v>179</v>
      </c>
      <c r="U6" s="16">
        <f t="shared" si="1"/>
        <v>151219.19999999998</v>
      </c>
      <c r="V6" s="538"/>
      <c r="W6" s="538"/>
      <c r="X6" s="534"/>
      <c r="Y6" s="533"/>
      <c r="Z6" s="543"/>
      <c r="AA6" s="533"/>
    </row>
    <row r="7" spans="1:27">
      <c r="A7" s="521"/>
      <c r="B7" s="43" t="s">
        <v>98</v>
      </c>
      <c r="C7" s="43">
        <v>600</v>
      </c>
      <c r="D7" s="43">
        <v>1.66</v>
      </c>
      <c r="E7" s="1">
        <v>179</v>
      </c>
      <c r="F7" s="16">
        <f t="shared" si="0"/>
        <v>178284</v>
      </c>
      <c r="G7" s="539"/>
      <c r="H7" s="539"/>
      <c r="I7" s="528"/>
      <c r="J7" s="526"/>
      <c r="K7" s="532"/>
      <c r="L7" s="526"/>
      <c r="M7" s="91"/>
      <c r="N7" s="45"/>
      <c r="P7" s="521"/>
      <c r="Q7" s="43" t="s">
        <v>98</v>
      </c>
      <c r="R7" s="43">
        <v>610</v>
      </c>
      <c r="S7" s="43">
        <v>1.66</v>
      </c>
      <c r="T7" s="1">
        <v>179</v>
      </c>
      <c r="U7" s="16">
        <f t="shared" si="1"/>
        <v>181255.4</v>
      </c>
      <c r="V7" s="539"/>
      <c r="W7" s="539"/>
      <c r="X7" s="528"/>
      <c r="Y7" s="526"/>
      <c r="Z7" s="544"/>
      <c r="AA7" s="526"/>
    </row>
    <row r="8" spans="1:27">
      <c r="A8" s="521" t="s">
        <v>91</v>
      </c>
      <c r="B8" s="43" t="s">
        <v>94</v>
      </c>
      <c r="C8" s="43">
        <v>1080.5</v>
      </c>
      <c r="D8" s="43">
        <v>0.99</v>
      </c>
      <c r="E8" s="1">
        <v>179</v>
      </c>
      <c r="F8" s="16">
        <f t="shared" si="0"/>
        <v>191475.405</v>
      </c>
      <c r="G8" s="540">
        <v>895</v>
      </c>
      <c r="H8" s="537">
        <v>3227.5</v>
      </c>
      <c r="I8" s="527">
        <v>465</v>
      </c>
      <c r="J8" s="525">
        <f>G8/H8*SUM(C8:C9)*I8</f>
        <v>211149.98063516652</v>
      </c>
      <c r="K8" s="531">
        <f>J8+SUM(F8:F9)</f>
        <v>501331.35563516652</v>
      </c>
      <c r="L8" s="525">
        <f>K8/SUM(C8:C9)</f>
        <v>306.15655305964367</v>
      </c>
      <c r="M8" s="91"/>
      <c r="N8" s="45"/>
      <c r="P8" s="521" t="s">
        <v>91</v>
      </c>
      <c r="Q8" s="43" t="s">
        <v>94</v>
      </c>
      <c r="R8" s="43">
        <v>1050</v>
      </c>
      <c r="S8" s="43">
        <v>0.99</v>
      </c>
      <c r="T8" s="1">
        <v>179</v>
      </c>
      <c r="U8" s="16">
        <f t="shared" si="1"/>
        <v>186070.5</v>
      </c>
      <c r="V8" s="540">
        <v>895</v>
      </c>
      <c r="W8" s="537">
        <v>3227.5</v>
      </c>
      <c r="X8" s="527">
        <v>465</v>
      </c>
      <c r="Y8" s="525">
        <f>V8/W8*SUM(R8:R9)*X8</f>
        <v>205025.01936483345</v>
      </c>
      <c r="Z8" s="542">
        <f>Y8+SUM(U8:U9)</f>
        <v>486788.91936483351</v>
      </c>
      <c r="AA8" s="525">
        <f>Z8/SUM(R8:R9)</f>
        <v>306.15655305964373</v>
      </c>
    </row>
    <row r="9" spans="1:27">
      <c r="A9" s="521"/>
      <c r="B9" s="43" t="s">
        <v>95</v>
      </c>
      <c r="C9" s="43">
        <v>557</v>
      </c>
      <c r="D9" s="43">
        <v>0.99</v>
      </c>
      <c r="E9" s="1">
        <v>179</v>
      </c>
      <c r="F9" s="16">
        <f t="shared" si="0"/>
        <v>98705.969999999987</v>
      </c>
      <c r="G9" s="541"/>
      <c r="H9" s="539"/>
      <c r="I9" s="528"/>
      <c r="J9" s="526"/>
      <c r="K9" s="532"/>
      <c r="L9" s="526"/>
      <c r="M9" s="91"/>
      <c r="N9" s="45"/>
      <c r="P9" s="521"/>
      <c r="Q9" s="43" t="s">
        <v>95</v>
      </c>
      <c r="R9" s="43">
        <v>540</v>
      </c>
      <c r="S9" s="43">
        <v>0.99</v>
      </c>
      <c r="T9" s="1">
        <v>179</v>
      </c>
      <c r="U9" s="16">
        <f t="shared" si="1"/>
        <v>95693.400000000009</v>
      </c>
      <c r="V9" s="541"/>
      <c r="W9" s="539"/>
      <c r="X9" s="528"/>
      <c r="Y9" s="526"/>
      <c r="Z9" s="544"/>
      <c r="AA9" s="526"/>
    </row>
    <row r="10" spans="1:27">
      <c r="A10" s="521" t="s">
        <v>105</v>
      </c>
      <c r="B10" s="43" t="s">
        <v>94</v>
      </c>
      <c r="C10" s="43">
        <v>1290</v>
      </c>
      <c r="D10" s="43">
        <v>1.34</v>
      </c>
      <c r="E10" s="1">
        <v>179</v>
      </c>
      <c r="F10" s="16">
        <f t="shared" si="0"/>
        <v>309419.40000000002</v>
      </c>
      <c r="G10" s="540">
        <v>1850</v>
      </c>
      <c r="H10" s="537">
        <v>5242</v>
      </c>
      <c r="I10" s="527">
        <v>465</v>
      </c>
      <c r="J10" s="525">
        <f>G10/H10*SUM(C10:C13)*I10</f>
        <v>433571.25143075164</v>
      </c>
      <c r="K10" s="531">
        <f>J10+SUM(F10:F13)</f>
        <v>1073188.3714307519</v>
      </c>
      <c r="L10" s="525">
        <f>K10/SUM(C10:C13)</f>
        <v>406.20301719559114</v>
      </c>
      <c r="M10" s="91"/>
      <c r="N10" s="45"/>
      <c r="P10" s="521" t="s">
        <v>105</v>
      </c>
      <c r="Q10" s="43" t="s">
        <v>94</v>
      </c>
      <c r="R10" s="43">
        <v>1249</v>
      </c>
      <c r="S10" s="43">
        <v>1.34</v>
      </c>
      <c r="T10" s="1">
        <v>179</v>
      </c>
      <c r="U10" s="16">
        <f t="shared" si="1"/>
        <v>299585.14</v>
      </c>
      <c r="V10" s="540">
        <v>1850</v>
      </c>
      <c r="W10" s="537">
        <v>5242</v>
      </c>
      <c r="X10" s="527">
        <v>465</v>
      </c>
      <c r="Y10" s="525">
        <f>V10/W10*SUM(R10:R13)*X10</f>
        <v>426678.74856924836</v>
      </c>
      <c r="Z10" s="542">
        <f>Y10+SUM(U10:U13)</f>
        <v>1056239.6485692484</v>
      </c>
      <c r="AA10" s="525">
        <f>Z10/SUM(R10:R13)</f>
        <v>406.24601868048012</v>
      </c>
    </row>
    <row r="11" spans="1:27">
      <c r="A11" s="521"/>
      <c r="B11" s="43" t="s">
        <v>98</v>
      </c>
      <c r="C11" s="43">
        <v>523</v>
      </c>
      <c r="D11" s="43">
        <v>1.34</v>
      </c>
      <c r="E11" s="1">
        <v>179</v>
      </c>
      <c r="F11" s="16">
        <f t="shared" si="0"/>
        <v>125446.78000000001</v>
      </c>
      <c r="G11" s="549"/>
      <c r="H11" s="538"/>
      <c r="I11" s="534"/>
      <c r="J11" s="533"/>
      <c r="K11" s="536"/>
      <c r="L11" s="533"/>
      <c r="M11" s="91"/>
      <c r="N11" s="45"/>
      <c r="P11" s="521"/>
      <c r="Q11" s="43" t="s">
        <v>98</v>
      </c>
      <c r="R11" s="43">
        <v>540</v>
      </c>
      <c r="S11" s="43">
        <v>1.34</v>
      </c>
      <c r="T11" s="1">
        <v>179</v>
      </c>
      <c r="U11" s="16">
        <f t="shared" si="1"/>
        <v>129524.40000000001</v>
      </c>
      <c r="V11" s="549"/>
      <c r="W11" s="538"/>
      <c r="X11" s="534"/>
      <c r="Y11" s="533"/>
      <c r="Z11" s="543"/>
      <c r="AA11" s="533"/>
    </row>
    <row r="12" spans="1:27">
      <c r="A12" s="521"/>
      <c r="B12" s="43" t="s">
        <v>99</v>
      </c>
      <c r="C12" s="43">
        <v>330</v>
      </c>
      <c r="D12" s="43">
        <v>1.44</v>
      </c>
      <c r="E12" s="1">
        <v>179</v>
      </c>
      <c r="F12" s="16">
        <f t="shared" si="0"/>
        <v>85060.800000000003</v>
      </c>
      <c r="G12" s="549"/>
      <c r="H12" s="538"/>
      <c r="I12" s="534"/>
      <c r="J12" s="533"/>
      <c r="K12" s="536"/>
      <c r="L12" s="533"/>
      <c r="M12" s="91"/>
      <c r="N12" s="45"/>
      <c r="P12" s="521"/>
      <c r="Q12" s="43" t="s">
        <v>99</v>
      </c>
      <c r="R12" s="43">
        <v>331</v>
      </c>
      <c r="S12" s="43">
        <v>1.44</v>
      </c>
      <c r="T12" s="1">
        <v>179</v>
      </c>
      <c r="U12" s="16">
        <f t="shared" si="1"/>
        <v>85318.56</v>
      </c>
      <c r="V12" s="549"/>
      <c r="W12" s="538"/>
      <c r="X12" s="534"/>
      <c r="Y12" s="533"/>
      <c r="Z12" s="543"/>
      <c r="AA12" s="533"/>
    </row>
    <row r="13" spans="1:27">
      <c r="A13" s="521"/>
      <c r="B13" s="43" t="s">
        <v>96</v>
      </c>
      <c r="C13" s="43">
        <v>499</v>
      </c>
      <c r="D13" s="43">
        <v>1.34</v>
      </c>
      <c r="E13" s="1">
        <v>179</v>
      </c>
      <c r="F13" s="16">
        <f t="shared" si="0"/>
        <v>119690.14000000001</v>
      </c>
      <c r="G13" s="541"/>
      <c r="H13" s="539"/>
      <c r="I13" s="528"/>
      <c r="J13" s="526"/>
      <c r="K13" s="532"/>
      <c r="L13" s="526"/>
      <c r="M13" s="91"/>
      <c r="N13" s="45"/>
      <c r="P13" s="521"/>
      <c r="Q13" s="43" t="s">
        <v>96</v>
      </c>
      <c r="R13" s="43">
        <v>480</v>
      </c>
      <c r="S13" s="43">
        <v>1.34</v>
      </c>
      <c r="T13" s="1">
        <v>179</v>
      </c>
      <c r="U13" s="16">
        <f t="shared" si="1"/>
        <v>115132.8</v>
      </c>
      <c r="V13" s="541"/>
      <c r="W13" s="539"/>
      <c r="X13" s="528"/>
      <c r="Y13" s="526"/>
      <c r="Z13" s="544"/>
      <c r="AA13" s="526"/>
    </row>
    <row r="14" spans="1:27">
      <c r="A14" s="521" t="s">
        <v>92</v>
      </c>
      <c r="B14" s="43" t="s">
        <v>94</v>
      </c>
      <c r="C14" s="43">
        <v>958</v>
      </c>
      <c r="D14" s="43">
        <v>1.95</v>
      </c>
      <c r="E14" s="1">
        <v>179</v>
      </c>
      <c r="F14" s="16">
        <f t="shared" si="0"/>
        <v>334389.89999999997</v>
      </c>
      <c r="G14" s="527">
        <v>3050</v>
      </c>
      <c r="H14" s="537">
        <v>6717</v>
      </c>
      <c r="I14" s="527">
        <v>465</v>
      </c>
      <c r="J14" s="525">
        <f>G14/H14*SUM(C14:C20)*I14</f>
        <v>721476.88700312632</v>
      </c>
      <c r="K14" s="531">
        <f>J14+SUM(F14:F20)</f>
        <v>1914180.7370031264</v>
      </c>
      <c r="L14" s="525">
        <f>K14/SUM(C14:C20)</f>
        <v>560.19336757481017</v>
      </c>
      <c r="M14" s="91"/>
      <c r="N14" s="45"/>
      <c r="P14" s="521" t="s">
        <v>92</v>
      </c>
      <c r="Q14" s="43" t="s">
        <v>94</v>
      </c>
      <c r="R14" s="43">
        <v>960</v>
      </c>
      <c r="S14" s="43">
        <v>1.95</v>
      </c>
      <c r="T14" s="1">
        <v>179</v>
      </c>
      <c r="U14" s="16">
        <f t="shared" si="1"/>
        <v>335088</v>
      </c>
      <c r="V14" s="527">
        <v>3050</v>
      </c>
      <c r="W14" s="537">
        <v>6717</v>
      </c>
      <c r="X14" s="527">
        <v>465</v>
      </c>
      <c r="Y14" s="525">
        <f>V14/W14*SUM(R14:R20)*X14</f>
        <v>696773.11299687368</v>
      </c>
      <c r="Z14" s="542">
        <f>Y14+SUM(U14:U20)</f>
        <v>1848638.1129968737</v>
      </c>
      <c r="AA14" s="525">
        <f>Z14/SUM(R14:R20)</f>
        <v>560.19336757481017</v>
      </c>
    </row>
    <row r="15" spans="1:27">
      <c r="A15" s="521"/>
      <c r="B15" s="43" t="s">
        <v>95</v>
      </c>
      <c r="C15" s="43">
        <v>492</v>
      </c>
      <c r="D15" s="43">
        <v>1.95</v>
      </c>
      <c r="E15" s="1">
        <v>179</v>
      </c>
      <c r="F15" s="16">
        <f t="shared" si="0"/>
        <v>171732.6</v>
      </c>
      <c r="G15" s="534"/>
      <c r="H15" s="538"/>
      <c r="I15" s="534"/>
      <c r="J15" s="533"/>
      <c r="K15" s="536"/>
      <c r="L15" s="533"/>
      <c r="M15" s="91"/>
      <c r="N15" s="45"/>
      <c r="P15" s="521"/>
      <c r="Q15" s="43" t="s">
        <v>95</v>
      </c>
      <c r="R15" s="43">
        <v>450</v>
      </c>
      <c r="S15" s="43">
        <v>1.95</v>
      </c>
      <c r="T15" s="1">
        <v>179</v>
      </c>
      <c r="U15" s="16">
        <f t="shared" si="1"/>
        <v>157072.5</v>
      </c>
      <c r="V15" s="534"/>
      <c r="W15" s="538"/>
      <c r="X15" s="534"/>
      <c r="Y15" s="533"/>
      <c r="Z15" s="543"/>
      <c r="AA15" s="533"/>
    </row>
    <row r="16" spans="1:27">
      <c r="A16" s="521"/>
      <c r="B16" s="43" t="s">
        <v>100</v>
      </c>
      <c r="C16" s="43">
        <v>467</v>
      </c>
      <c r="D16" s="43">
        <v>1.95</v>
      </c>
      <c r="E16" s="1">
        <v>179</v>
      </c>
      <c r="F16" s="16">
        <f t="shared" si="0"/>
        <v>163006.35</v>
      </c>
      <c r="G16" s="534"/>
      <c r="H16" s="538"/>
      <c r="I16" s="534"/>
      <c r="J16" s="533"/>
      <c r="K16" s="536"/>
      <c r="L16" s="533"/>
      <c r="M16" s="91"/>
      <c r="N16" s="45"/>
      <c r="P16" s="521"/>
      <c r="Q16" s="43" t="s">
        <v>100</v>
      </c>
      <c r="R16" s="43">
        <v>450</v>
      </c>
      <c r="S16" s="43">
        <v>1.95</v>
      </c>
      <c r="T16" s="1">
        <v>179</v>
      </c>
      <c r="U16" s="16">
        <f t="shared" si="1"/>
        <v>157072.5</v>
      </c>
      <c r="V16" s="534"/>
      <c r="W16" s="538"/>
      <c r="X16" s="534"/>
      <c r="Y16" s="533"/>
      <c r="Z16" s="543"/>
      <c r="AA16" s="533"/>
    </row>
    <row r="17" spans="1:27">
      <c r="A17" s="521"/>
      <c r="B17" s="43" t="s">
        <v>101</v>
      </c>
      <c r="C17" s="43">
        <v>751</v>
      </c>
      <c r="D17" s="43">
        <v>1.95</v>
      </c>
      <c r="E17" s="1">
        <v>179</v>
      </c>
      <c r="F17" s="16">
        <f t="shared" si="0"/>
        <v>262136.55000000002</v>
      </c>
      <c r="G17" s="534"/>
      <c r="H17" s="538"/>
      <c r="I17" s="534"/>
      <c r="J17" s="533"/>
      <c r="K17" s="536"/>
      <c r="L17" s="533"/>
      <c r="M17" s="91"/>
      <c r="N17" s="45"/>
      <c r="P17" s="521"/>
      <c r="Q17" s="43" t="s">
        <v>101</v>
      </c>
      <c r="R17" s="43">
        <v>750</v>
      </c>
      <c r="S17" s="43">
        <v>1.95</v>
      </c>
      <c r="T17" s="1">
        <v>179</v>
      </c>
      <c r="U17" s="16">
        <f t="shared" si="1"/>
        <v>261787.5</v>
      </c>
      <c r="V17" s="534"/>
      <c r="W17" s="538"/>
      <c r="X17" s="534"/>
      <c r="Y17" s="533"/>
      <c r="Z17" s="543"/>
      <c r="AA17" s="533"/>
    </row>
    <row r="18" spans="1:27">
      <c r="A18" s="521"/>
      <c r="B18" s="43" t="s">
        <v>96</v>
      </c>
      <c r="C18" s="43">
        <v>241</v>
      </c>
      <c r="D18" s="43">
        <v>1.95</v>
      </c>
      <c r="E18" s="1">
        <v>179</v>
      </c>
      <c r="F18" s="16">
        <f t="shared" si="0"/>
        <v>84121.05</v>
      </c>
      <c r="G18" s="534"/>
      <c r="H18" s="538"/>
      <c r="I18" s="534"/>
      <c r="J18" s="533"/>
      <c r="K18" s="536"/>
      <c r="L18" s="533"/>
      <c r="M18" s="91"/>
      <c r="N18" s="45"/>
      <c r="P18" s="521"/>
      <c r="Q18" s="43" t="s">
        <v>96</v>
      </c>
      <c r="R18" s="43">
        <v>210</v>
      </c>
      <c r="S18" s="43">
        <v>1.95</v>
      </c>
      <c r="T18" s="1">
        <v>179</v>
      </c>
      <c r="U18" s="16">
        <f t="shared" si="1"/>
        <v>73300.5</v>
      </c>
      <c r="V18" s="534"/>
      <c r="W18" s="538"/>
      <c r="X18" s="534"/>
      <c r="Y18" s="533"/>
      <c r="Z18" s="543"/>
      <c r="AA18" s="533"/>
    </row>
    <row r="19" spans="1:27">
      <c r="A19" s="521"/>
      <c r="B19" s="43" t="s">
        <v>102</v>
      </c>
      <c r="C19" s="43">
        <v>282</v>
      </c>
      <c r="D19" s="43">
        <v>1.95</v>
      </c>
      <c r="E19" s="1">
        <v>179</v>
      </c>
      <c r="F19" s="16">
        <f t="shared" si="0"/>
        <v>98432.099999999991</v>
      </c>
      <c r="G19" s="534"/>
      <c r="H19" s="538"/>
      <c r="I19" s="534"/>
      <c r="J19" s="533"/>
      <c r="K19" s="536"/>
      <c r="L19" s="533"/>
      <c r="M19" s="91"/>
      <c r="N19" s="45"/>
      <c r="P19" s="521"/>
      <c r="Q19" s="43" t="s">
        <v>102</v>
      </c>
      <c r="R19" s="43">
        <v>270</v>
      </c>
      <c r="S19" s="43">
        <v>1.95</v>
      </c>
      <c r="T19" s="1">
        <v>179</v>
      </c>
      <c r="U19" s="16">
        <f t="shared" si="1"/>
        <v>94243.5</v>
      </c>
      <c r="V19" s="534"/>
      <c r="W19" s="538"/>
      <c r="X19" s="534"/>
      <c r="Y19" s="533"/>
      <c r="Z19" s="543"/>
      <c r="AA19" s="533"/>
    </row>
    <row r="20" spans="1:27">
      <c r="A20" s="521"/>
      <c r="B20" s="43" t="s">
        <v>103</v>
      </c>
      <c r="C20" s="43">
        <v>226</v>
      </c>
      <c r="D20" s="43">
        <v>1.95</v>
      </c>
      <c r="E20" s="1">
        <v>179</v>
      </c>
      <c r="F20" s="16">
        <f t="shared" si="0"/>
        <v>78885.3</v>
      </c>
      <c r="G20" s="528"/>
      <c r="H20" s="539"/>
      <c r="I20" s="528"/>
      <c r="J20" s="526"/>
      <c r="K20" s="532"/>
      <c r="L20" s="526"/>
      <c r="M20" s="91"/>
      <c r="N20" s="45"/>
      <c r="P20" s="521"/>
      <c r="Q20" s="43" t="s">
        <v>103</v>
      </c>
      <c r="R20" s="43">
        <v>210</v>
      </c>
      <c r="S20" s="43">
        <v>1.95</v>
      </c>
      <c r="T20" s="1">
        <v>179</v>
      </c>
      <c r="U20" s="16">
        <f t="shared" si="1"/>
        <v>73300.5</v>
      </c>
      <c r="V20" s="528"/>
      <c r="W20" s="539"/>
      <c r="X20" s="528"/>
      <c r="Y20" s="526"/>
      <c r="Z20" s="544"/>
      <c r="AA20" s="526"/>
    </row>
    <row r="21" spans="1:27">
      <c r="A21" s="521" t="s">
        <v>106</v>
      </c>
      <c r="B21" s="43" t="s">
        <v>94</v>
      </c>
      <c r="C21" s="43">
        <v>450</v>
      </c>
      <c r="D21" s="43">
        <v>1.75</v>
      </c>
      <c r="E21" s="1">
        <v>179</v>
      </c>
      <c r="F21" s="16">
        <f t="shared" si="0"/>
        <v>140962.5</v>
      </c>
      <c r="G21" s="527">
        <v>1140</v>
      </c>
      <c r="H21" s="537">
        <v>2423</v>
      </c>
      <c r="I21" s="527">
        <v>465</v>
      </c>
      <c r="J21" s="525">
        <f>G21/H21*SUM(C21:C24)*I21</f>
        <v>263627.94056954188</v>
      </c>
      <c r="K21" s="531">
        <f>J21+SUM(F21:F24)</f>
        <v>649775.69056954188</v>
      </c>
      <c r="L21" s="525">
        <f>K21/SUM(C21:C24)</f>
        <v>539.23293823198492</v>
      </c>
      <c r="M21" s="91"/>
      <c r="N21" s="45"/>
      <c r="P21" s="521" t="s">
        <v>106</v>
      </c>
      <c r="Q21" s="43" t="s">
        <v>94</v>
      </c>
      <c r="R21" s="43">
        <v>440</v>
      </c>
      <c r="S21" s="43">
        <v>1.75</v>
      </c>
      <c r="T21" s="1">
        <v>179</v>
      </c>
      <c r="U21" s="16">
        <f t="shared" si="1"/>
        <v>137830</v>
      </c>
      <c r="V21" s="527">
        <v>1140</v>
      </c>
      <c r="W21" s="537">
        <v>2423</v>
      </c>
      <c r="X21" s="527">
        <v>465</v>
      </c>
      <c r="Y21" s="525">
        <f>V21/W21*SUM(R21:R24)*X21</f>
        <v>266472.05943045806</v>
      </c>
      <c r="Z21" s="542">
        <f>Y21+SUM(U21:U24)</f>
        <v>657676.55943045812</v>
      </c>
      <c r="AA21" s="525">
        <f>Z21/SUM(R21:R24)</f>
        <v>539.96433450776533</v>
      </c>
    </row>
    <row r="22" spans="1:27">
      <c r="A22" s="521"/>
      <c r="B22" s="43" t="s">
        <v>95</v>
      </c>
      <c r="C22" s="43">
        <v>240</v>
      </c>
      <c r="D22" s="43">
        <v>1.85</v>
      </c>
      <c r="E22" s="1">
        <v>179</v>
      </c>
      <c r="F22" s="16">
        <f t="shared" si="0"/>
        <v>79476</v>
      </c>
      <c r="G22" s="534"/>
      <c r="H22" s="538"/>
      <c r="I22" s="534"/>
      <c r="J22" s="533"/>
      <c r="K22" s="536"/>
      <c r="L22" s="533"/>
      <c r="M22" s="91"/>
      <c r="N22" s="45"/>
      <c r="P22" s="521"/>
      <c r="Q22" s="43" t="s">
        <v>95</v>
      </c>
      <c r="R22" s="43">
        <v>270</v>
      </c>
      <c r="S22" s="43">
        <v>1.85</v>
      </c>
      <c r="T22" s="1">
        <v>179</v>
      </c>
      <c r="U22" s="16">
        <f t="shared" si="1"/>
        <v>89410.5</v>
      </c>
      <c r="V22" s="534"/>
      <c r="W22" s="538"/>
      <c r="X22" s="534"/>
      <c r="Y22" s="533"/>
      <c r="Z22" s="543"/>
      <c r="AA22" s="533"/>
    </row>
    <row r="23" spans="1:27">
      <c r="A23" s="521"/>
      <c r="B23" s="43" t="s">
        <v>96</v>
      </c>
      <c r="C23" s="43">
        <v>270</v>
      </c>
      <c r="D23" s="43">
        <v>1.75</v>
      </c>
      <c r="E23" s="1">
        <v>179</v>
      </c>
      <c r="F23" s="16">
        <f t="shared" si="0"/>
        <v>84577.5</v>
      </c>
      <c r="G23" s="534"/>
      <c r="H23" s="538"/>
      <c r="I23" s="534"/>
      <c r="J23" s="533"/>
      <c r="K23" s="536"/>
      <c r="L23" s="533"/>
      <c r="M23" s="91"/>
      <c r="N23" s="45"/>
      <c r="P23" s="521"/>
      <c r="Q23" s="43" t="s">
        <v>96</v>
      </c>
      <c r="R23" s="43">
        <v>238</v>
      </c>
      <c r="S23" s="43">
        <v>1.75</v>
      </c>
      <c r="T23" s="1">
        <v>179</v>
      </c>
      <c r="U23" s="16">
        <f t="shared" si="1"/>
        <v>74553.5</v>
      </c>
      <c r="V23" s="534"/>
      <c r="W23" s="538"/>
      <c r="X23" s="534"/>
      <c r="Y23" s="533"/>
      <c r="Z23" s="543"/>
      <c r="AA23" s="533"/>
    </row>
    <row r="24" spans="1:27">
      <c r="A24" s="521"/>
      <c r="B24" s="43" t="s">
        <v>97</v>
      </c>
      <c r="C24" s="43">
        <v>245</v>
      </c>
      <c r="D24" s="43">
        <v>1.85</v>
      </c>
      <c r="E24" s="1">
        <v>179</v>
      </c>
      <c r="F24" s="16">
        <f t="shared" si="0"/>
        <v>81131.75</v>
      </c>
      <c r="G24" s="528"/>
      <c r="H24" s="539"/>
      <c r="I24" s="528"/>
      <c r="J24" s="526"/>
      <c r="K24" s="532"/>
      <c r="L24" s="526"/>
      <c r="M24" s="91"/>
      <c r="N24" s="45"/>
      <c r="P24" s="521"/>
      <c r="Q24" s="43" t="s">
        <v>97</v>
      </c>
      <c r="R24" s="43">
        <v>270</v>
      </c>
      <c r="S24" s="43">
        <v>1.85</v>
      </c>
      <c r="T24" s="1">
        <v>179</v>
      </c>
      <c r="U24" s="16">
        <f t="shared" si="1"/>
        <v>89410.5</v>
      </c>
      <c r="V24" s="528"/>
      <c r="W24" s="539"/>
      <c r="X24" s="528"/>
      <c r="Y24" s="526"/>
      <c r="Z24" s="544"/>
      <c r="AA24" s="526"/>
    </row>
    <row r="25" spans="1:27">
      <c r="A25" s="522" t="s">
        <v>93</v>
      </c>
      <c r="B25" s="43" t="s">
        <v>95</v>
      </c>
      <c r="C25" s="44">
        <v>322</v>
      </c>
      <c r="D25" s="43">
        <v>4.5</v>
      </c>
      <c r="E25" s="1">
        <v>179</v>
      </c>
      <c r="F25" s="16">
        <f t="shared" si="0"/>
        <v>259371</v>
      </c>
      <c r="G25" s="527">
        <v>1850</v>
      </c>
      <c r="H25" s="529">
        <v>2232</v>
      </c>
      <c r="I25" s="527">
        <v>465</v>
      </c>
      <c r="J25" s="525">
        <f>G25/H25*SUM(C25:C29)*I25</f>
        <v>455562.49999999994</v>
      </c>
      <c r="K25" s="531">
        <f>J25+SUM(F25:F29)</f>
        <v>1381082</v>
      </c>
      <c r="L25" s="525">
        <f>K25/SUM(C25:C29)</f>
        <v>1168.4280879864637</v>
      </c>
      <c r="M25" s="64"/>
      <c r="N25" s="45"/>
      <c r="P25" s="522" t="s">
        <v>93</v>
      </c>
      <c r="Q25" s="43" t="s">
        <v>95</v>
      </c>
      <c r="R25" s="44">
        <v>300</v>
      </c>
      <c r="S25" s="43">
        <v>4.5</v>
      </c>
      <c r="T25" s="1">
        <v>179</v>
      </c>
      <c r="U25" s="16">
        <f t="shared" si="1"/>
        <v>241650</v>
      </c>
      <c r="V25" s="527">
        <v>1850</v>
      </c>
      <c r="W25" s="529">
        <v>2232</v>
      </c>
      <c r="X25" s="527">
        <v>465</v>
      </c>
      <c r="Y25" s="525">
        <f>V25/W25*SUM(R25:R29)*X25</f>
        <v>404687.5</v>
      </c>
      <c r="Z25" s="542">
        <f>Y25+SUM(U25:U29)</f>
        <v>1226834.5</v>
      </c>
      <c r="AA25" s="525">
        <f>Z25/SUM(R25:R29)</f>
        <v>1168.4138095238095</v>
      </c>
    </row>
    <row r="26" spans="1:27">
      <c r="A26" s="523"/>
      <c r="B26" s="43" t="s">
        <v>94</v>
      </c>
      <c r="C26" s="44">
        <v>149</v>
      </c>
      <c r="D26" s="43">
        <v>4.5</v>
      </c>
      <c r="E26" s="1">
        <v>179</v>
      </c>
      <c r="F26" s="16">
        <f t="shared" si="0"/>
        <v>120019.5</v>
      </c>
      <c r="G26" s="534"/>
      <c r="H26" s="535"/>
      <c r="I26" s="534"/>
      <c r="J26" s="533"/>
      <c r="K26" s="536"/>
      <c r="L26" s="533"/>
      <c r="M26" s="64"/>
      <c r="N26" s="45"/>
      <c r="P26" s="523"/>
      <c r="Q26" s="43" t="s">
        <v>94</v>
      </c>
      <c r="R26" s="44">
        <v>120</v>
      </c>
      <c r="S26" s="43">
        <v>4.5</v>
      </c>
      <c r="T26" s="1">
        <v>179</v>
      </c>
      <c r="U26" s="16">
        <f t="shared" si="1"/>
        <v>96660</v>
      </c>
      <c r="V26" s="534"/>
      <c r="W26" s="535"/>
      <c r="X26" s="534"/>
      <c r="Y26" s="533"/>
      <c r="Z26" s="543"/>
      <c r="AA26" s="533"/>
    </row>
    <row r="27" spans="1:27">
      <c r="A27" s="523"/>
      <c r="B27" s="43" t="s">
        <v>98</v>
      </c>
      <c r="C27" s="44">
        <v>292</v>
      </c>
      <c r="D27" s="43">
        <v>4.5</v>
      </c>
      <c r="E27" s="1">
        <v>179</v>
      </c>
      <c r="F27" s="16">
        <f t="shared" si="0"/>
        <v>235206</v>
      </c>
      <c r="G27" s="534"/>
      <c r="H27" s="535"/>
      <c r="I27" s="534"/>
      <c r="J27" s="533"/>
      <c r="K27" s="536"/>
      <c r="L27" s="533"/>
      <c r="M27" s="64"/>
      <c r="N27" s="45"/>
      <c r="P27" s="523"/>
      <c r="Q27" s="43" t="s">
        <v>98</v>
      </c>
      <c r="R27" s="44">
        <v>270</v>
      </c>
      <c r="S27" s="43">
        <v>4.5</v>
      </c>
      <c r="T27" s="1">
        <v>179</v>
      </c>
      <c r="U27" s="16">
        <f t="shared" si="1"/>
        <v>217485</v>
      </c>
      <c r="V27" s="534"/>
      <c r="W27" s="535"/>
      <c r="X27" s="534"/>
      <c r="Y27" s="533"/>
      <c r="Z27" s="543"/>
      <c r="AA27" s="533"/>
    </row>
    <row r="28" spans="1:27">
      <c r="A28" s="523"/>
      <c r="B28" s="43" t="s">
        <v>96</v>
      </c>
      <c r="C28" s="44">
        <v>270</v>
      </c>
      <c r="D28" s="43">
        <v>3.95</v>
      </c>
      <c r="E28" s="1">
        <v>179</v>
      </c>
      <c r="F28" s="16">
        <f t="shared" si="0"/>
        <v>190903.5</v>
      </c>
      <c r="G28" s="534"/>
      <c r="H28" s="535"/>
      <c r="I28" s="534"/>
      <c r="J28" s="533"/>
      <c r="K28" s="536"/>
      <c r="L28" s="533"/>
      <c r="M28" s="64"/>
      <c r="N28" s="45"/>
      <c r="P28" s="523"/>
      <c r="Q28" s="43" t="s">
        <v>96</v>
      </c>
      <c r="R28" s="44">
        <v>240</v>
      </c>
      <c r="S28" s="43">
        <v>3.95</v>
      </c>
      <c r="T28" s="1">
        <v>179</v>
      </c>
      <c r="U28" s="16">
        <f t="shared" si="1"/>
        <v>169692</v>
      </c>
      <c r="V28" s="534"/>
      <c r="W28" s="535"/>
      <c r="X28" s="534"/>
      <c r="Y28" s="533"/>
      <c r="Z28" s="543"/>
      <c r="AA28" s="533"/>
    </row>
    <row r="29" spans="1:27">
      <c r="A29" s="524"/>
      <c r="B29" s="43" t="s">
        <v>102</v>
      </c>
      <c r="C29" s="44">
        <v>149</v>
      </c>
      <c r="D29" s="43">
        <v>4.5</v>
      </c>
      <c r="E29" s="1">
        <v>179</v>
      </c>
      <c r="F29" s="16">
        <f t="shared" si="0"/>
        <v>120019.5</v>
      </c>
      <c r="G29" s="528"/>
      <c r="H29" s="530"/>
      <c r="I29" s="528"/>
      <c r="J29" s="526"/>
      <c r="K29" s="532"/>
      <c r="L29" s="526"/>
      <c r="M29" s="64"/>
      <c r="N29" s="45"/>
      <c r="P29" s="524"/>
      <c r="Q29" s="43" t="s">
        <v>102</v>
      </c>
      <c r="R29" s="44">
        <v>120</v>
      </c>
      <c r="S29" s="43">
        <v>4.5</v>
      </c>
      <c r="T29" s="1">
        <v>179</v>
      </c>
      <c r="U29" s="16">
        <f t="shared" si="1"/>
        <v>96660</v>
      </c>
      <c r="V29" s="528"/>
      <c r="W29" s="530"/>
      <c r="X29" s="528"/>
      <c r="Y29" s="526"/>
      <c r="Z29" s="544"/>
      <c r="AA29" s="526"/>
    </row>
    <row r="30" spans="1:27">
      <c r="A30" s="521" t="s">
        <v>46</v>
      </c>
      <c r="B30" s="43" t="s">
        <v>98</v>
      </c>
      <c r="C30" s="44">
        <v>500</v>
      </c>
      <c r="D30" s="43">
        <v>0.97</v>
      </c>
      <c r="E30" s="1">
        <v>179</v>
      </c>
      <c r="F30" s="16">
        <f t="shared" si="0"/>
        <v>86815</v>
      </c>
      <c r="G30" s="527">
        <v>820</v>
      </c>
      <c r="H30" s="529">
        <v>3050</v>
      </c>
      <c r="I30" s="527">
        <v>465</v>
      </c>
      <c r="J30" s="525">
        <f>G30/H30*SUM(C30:C31)*I30</f>
        <v>193775.40983606558</v>
      </c>
      <c r="K30" s="531">
        <f>J30+SUM(F30:F31)</f>
        <v>453504.40983606561</v>
      </c>
      <c r="L30" s="525">
        <f>K30/SUM(C30:C31)</f>
        <v>292.58349021681653</v>
      </c>
      <c r="M30" s="92"/>
      <c r="N30" s="45"/>
      <c r="P30" s="521" t="s">
        <v>46</v>
      </c>
      <c r="Q30" s="43" t="s">
        <v>98</v>
      </c>
      <c r="R30" s="44">
        <v>500</v>
      </c>
      <c r="S30" s="43">
        <v>0.97</v>
      </c>
      <c r="T30" s="1">
        <v>179</v>
      </c>
      <c r="U30" s="16">
        <f t="shared" si="1"/>
        <v>86815</v>
      </c>
      <c r="V30" s="527">
        <v>820</v>
      </c>
      <c r="W30" s="529">
        <v>3050</v>
      </c>
      <c r="X30" s="527">
        <v>465</v>
      </c>
      <c r="Y30" s="525">
        <f>V30/W30*SUM(R30:R31)*X30</f>
        <v>187524.59016393442</v>
      </c>
      <c r="Z30" s="542">
        <f>Y30+SUM(U30:U31)</f>
        <v>439019.59016393439</v>
      </c>
      <c r="AA30" s="525">
        <f>Z30/SUM(R30:R31)</f>
        <v>292.67972677595628</v>
      </c>
    </row>
    <row r="31" spans="1:27">
      <c r="A31" s="521"/>
      <c r="B31" s="43" t="s">
        <v>100</v>
      </c>
      <c r="C31" s="43">
        <v>1050</v>
      </c>
      <c r="D31" s="43">
        <v>0.92</v>
      </c>
      <c r="E31" s="1">
        <v>179</v>
      </c>
      <c r="F31" s="16">
        <f t="shared" si="0"/>
        <v>172914</v>
      </c>
      <c r="G31" s="528"/>
      <c r="H31" s="530"/>
      <c r="I31" s="528"/>
      <c r="J31" s="526"/>
      <c r="K31" s="532"/>
      <c r="L31" s="526"/>
      <c r="M31" s="93"/>
      <c r="N31" s="45"/>
      <c r="P31" s="521"/>
      <c r="Q31" s="43" t="s">
        <v>100</v>
      </c>
      <c r="R31" s="43">
        <v>1000</v>
      </c>
      <c r="S31" s="43">
        <v>0.92</v>
      </c>
      <c r="T31" s="1">
        <v>179</v>
      </c>
      <c r="U31" s="16">
        <f t="shared" si="1"/>
        <v>164680</v>
      </c>
      <c r="V31" s="528"/>
      <c r="W31" s="530"/>
      <c r="X31" s="528"/>
      <c r="Y31" s="526"/>
      <c r="Z31" s="544"/>
      <c r="AA31" s="526"/>
    </row>
    <row r="32" spans="1:27">
      <c r="A32" s="2" t="s">
        <v>4</v>
      </c>
      <c r="B32" s="1"/>
      <c r="C32" s="1">
        <f>SUM(C3:C31)</f>
        <v>15577.5</v>
      </c>
      <c r="D32" s="1"/>
      <c r="E32" s="1"/>
      <c r="F32" s="7">
        <f>SUM(F3:F31)</f>
        <v>4887961.0549999997</v>
      </c>
      <c r="G32" s="1">
        <f>SUM(G3:G31)</f>
        <v>13730</v>
      </c>
      <c r="H32" s="1">
        <f>SUM(H3:H31)</f>
        <v>30775.5</v>
      </c>
      <c r="I32" s="1"/>
      <c r="J32" s="7">
        <f>SUM(J3:J31)</f>
        <v>3238713.0562326424</v>
      </c>
      <c r="K32" s="7">
        <f>SUM(K3:K31)</f>
        <v>8126674.111232643</v>
      </c>
      <c r="L32" s="1"/>
      <c r="N32" s="90"/>
      <c r="P32" s="2" t="s">
        <v>4</v>
      </c>
      <c r="Q32" s="1"/>
      <c r="R32" s="1">
        <f>SUM(R3:R31)</f>
        <v>15198</v>
      </c>
      <c r="S32" s="1"/>
      <c r="T32" s="1"/>
      <c r="U32" s="7">
        <f>SUM(U3:U31)</f>
        <v>4720784.8999999994</v>
      </c>
      <c r="V32" s="1">
        <f>SUM(V3:V31)</f>
        <v>13730</v>
      </c>
      <c r="W32" s="1">
        <f>SUM(W3:W31)</f>
        <v>30775.5</v>
      </c>
      <c r="X32" s="1"/>
      <c r="Y32" s="1">
        <f>SUM(Y2:Y31)</f>
        <v>3145736.9437673567</v>
      </c>
      <c r="Z32" s="7">
        <f>SUM(Z3:Z31)</f>
        <v>7866521.8437673571</v>
      </c>
      <c r="AA32" s="1"/>
    </row>
    <row r="34" spans="25:25">
      <c r="Y34" s="39"/>
    </row>
  </sheetData>
  <mergeCells count="102">
    <mergeCell ref="A21:A24"/>
    <mergeCell ref="A25:A29"/>
    <mergeCell ref="A30:A31"/>
    <mergeCell ref="A1:L1"/>
    <mergeCell ref="A2:B2"/>
    <mergeCell ref="A3:A7"/>
    <mergeCell ref="A8:A9"/>
    <mergeCell ref="A10:A13"/>
    <mergeCell ref="A14:A20"/>
    <mergeCell ref="G10:G13"/>
    <mergeCell ref="H10:H13"/>
    <mergeCell ref="I10:I13"/>
    <mergeCell ref="J10:J13"/>
    <mergeCell ref="K10:K13"/>
    <mergeCell ref="L10:L13"/>
    <mergeCell ref="G14:G20"/>
    <mergeCell ref="H14:H20"/>
    <mergeCell ref="I14:I20"/>
    <mergeCell ref="J14:J20"/>
    <mergeCell ref="K14:K20"/>
    <mergeCell ref="L14:L20"/>
    <mergeCell ref="G3:G7"/>
    <mergeCell ref="H3:H7"/>
    <mergeCell ref="I3:I7"/>
    <mergeCell ref="V21:V24"/>
    <mergeCell ref="V25:V29"/>
    <mergeCell ref="V30:V31"/>
    <mergeCell ref="W25:W29"/>
    <mergeCell ref="W30:W31"/>
    <mergeCell ref="X30:X31"/>
    <mergeCell ref="X25:X29"/>
    <mergeCell ref="X21:X24"/>
    <mergeCell ref="W3:W7"/>
    <mergeCell ref="W8:W9"/>
    <mergeCell ref="W10:W13"/>
    <mergeCell ref="W14:W20"/>
    <mergeCell ref="W21:W24"/>
    <mergeCell ref="P1:AA1"/>
    <mergeCell ref="P2:Q2"/>
    <mergeCell ref="P3:P7"/>
    <mergeCell ref="P8:P9"/>
    <mergeCell ref="P10:P13"/>
    <mergeCell ref="V3:V7"/>
    <mergeCell ref="V8:V9"/>
    <mergeCell ref="V10:V13"/>
    <mergeCell ref="V14:V20"/>
    <mergeCell ref="Y3:Y7"/>
    <mergeCell ref="Y8:Y9"/>
    <mergeCell ref="AA8:AA9"/>
    <mergeCell ref="AA3:AA7"/>
    <mergeCell ref="X8:X9"/>
    <mergeCell ref="X3:X7"/>
    <mergeCell ref="Z3:Z7"/>
    <mergeCell ref="Z8:Z9"/>
    <mergeCell ref="P14:P20"/>
    <mergeCell ref="AA30:AA31"/>
    <mergeCell ref="AA25:AA29"/>
    <mergeCell ref="AA21:AA24"/>
    <mergeCell ref="AA14:AA20"/>
    <mergeCell ref="AA10:AA13"/>
    <mergeCell ref="Y21:Y24"/>
    <mergeCell ref="Y25:Y29"/>
    <mergeCell ref="Y30:Y31"/>
    <mergeCell ref="X14:X20"/>
    <mergeCell ref="X10:X13"/>
    <mergeCell ref="Z10:Z13"/>
    <mergeCell ref="Z14:Z20"/>
    <mergeCell ref="Z21:Z24"/>
    <mergeCell ref="Z25:Z29"/>
    <mergeCell ref="Z30:Z31"/>
    <mergeCell ref="Y10:Y13"/>
    <mergeCell ref="Y14:Y20"/>
    <mergeCell ref="J3:J7"/>
    <mergeCell ref="K3:K7"/>
    <mergeCell ref="L3:L7"/>
    <mergeCell ref="G8:G9"/>
    <mergeCell ref="H8:H9"/>
    <mergeCell ref="I8:I9"/>
    <mergeCell ref="J8:J9"/>
    <mergeCell ref="K8:K9"/>
    <mergeCell ref="L8:L9"/>
    <mergeCell ref="P21:P24"/>
    <mergeCell ref="P25:P29"/>
    <mergeCell ref="P30:P31"/>
    <mergeCell ref="L30:L31"/>
    <mergeCell ref="G30:G31"/>
    <mergeCell ref="H30:H31"/>
    <mergeCell ref="I30:I31"/>
    <mergeCell ref="J30:J31"/>
    <mergeCell ref="K30:K31"/>
    <mergeCell ref="L21:L24"/>
    <mergeCell ref="G25:G29"/>
    <mergeCell ref="H25:H29"/>
    <mergeCell ref="I25:I29"/>
    <mergeCell ref="J25:J29"/>
    <mergeCell ref="K25:K29"/>
    <mergeCell ref="L25:L29"/>
    <mergeCell ref="G21:G24"/>
    <mergeCell ref="H21:H24"/>
    <mergeCell ref="I21:I24"/>
    <mergeCell ref="J21:J24"/>
    <mergeCell ref="K21:K24"/>
  </mergeCells>
  <pageMargins left="0.81" right="0" top="0.56000000000000005" bottom="0.17" header="0.51180555555555596" footer="0.25"/>
  <pageSetup paperSize="9" scale="10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opLeftCell="A11" zoomScale="90" zoomScaleNormal="90" workbookViewId="0">
      <selection activeCell="A37" sqref="A37"/>
    </sheetView>
  </sheetViews>
  <sheetFormatPr defaultRowHeight="15"/>
  <cols>
    <col min="7" max="7" width="9.42578125" bestFit="1" customWidth="1"/>
    <col min="10" max="11" width="11" bestFit="1" customWidth="1"/>
    <col min="36" max="36" width="6.85546875" customWidth="1"/>
    <col min="37" max="37" width="6.28515625" customWidth="1"/>
  </cols>
  <sheetData>
    <row r="1" spans="1:38" ht="27" customHeight="1">
      <c r="A1" s="519" t="s">
        <v>64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W1" s="551" t="s">
        <v>129</v>
      </c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551"/>
      <c r="AJ1" s="551"/>
      <c r="AK1" s="551"/>
    </row>
    <row r="2" spans="1:38" ht="32.25">
      <c r="A2" s="46" t="s">
        <v>0</v>
      </c>
      <c r="B2" s="46"/>
      <c r="C2" s="47" t="s">
        <v>123</v>
      </c>
      <c r="D2" s="47" t="s">
        <v>2</v>
      </c>
      <c r="E2" s="47" t="s">
        <v>3</v>
      </c>
      <c r="F2" s="48" t="s">
        <v>4</v>
      </c>
      <c r="G2" s="6" t="s">
        <v>5</v>
      </c>
      <c r="H2" s="6" t="s">
        <v>6</v>
      </c>
      <c r="I2" s="6" t="s">
        <v>7</v>
      </c>
      <c r="J2" s="47" t="s">
        <v>8</v>
      </c>
      <c r="K2" s="18" t="s">
        <v>9</v>
      </c>
      <c r="L2" s="6" t="s">
        <v>10</v>
      </c>
      <c r="M2" s="53" t="s">
        <v>125</v>
      </c>
      <c r="N2" s="2" t="s">
        <v>124</v>
      </c>
      <c r="O2" s="56" t="s">
        <v>126</v>
      </c>
      <c r="W2" s="46" t="s">
        <v>0</v>
      </c>
      <c r="X2" s="46"/>
      <c r="Y2" s="47" t="s">
        <v>130</v>
      </c>
      <c r="Z2" s="47" t="s">
        <v>2</v>
      </c>
      <c r="AA2" s="47" t="s">
        <v>3</v>
      </c>
      <c r="AB2" s="48" t="s">
        <v>4</v>
      </c>
      <c r="AC2" s="6" t="s">
        <v>5</v>
      </c>
      <c r="AD2" s="6" t="s">
        <v>6</v>
      </c>
      <c r="AE2" s="6" t="s">
        <v>7</v>
      </c>
      <c r="AF2" s="47" t="s">
        <v>8</v>
      </c>
      <c r="AG2" s="18" t="s">
        <v>9</v>
      </c>
      <c r="AH2" s="6" t="s">
        <v>10</v>
      </c>
      <c r="AI2" s="53" t="s">
        <v>125</v>
      </c>
      <c r="AJ2" s="3" t="s">
        <v>127</v>
      </c>
      <c r="AK2" s="3" t="s">
        <v>128</v>
      </c>
    </row>
    <row r="3" spans="1:38">
      <c r="A3" s="550" t="s">
        <v>108</v>
      </c>
      <c r="B3" s="44" t="s">
        <v>94</v>
      </c>
      <c r="C3" s="60">
        <v>930</v>
      </c>
      <c r="D3" s="44">
        <v>1.37</v>
      </c>
      <c r="E3" s="49">
        <v>178</v>
      </c>
      <c r="F3" s="50">
        <f>C3*D3*E3</f>
        <v>226789.80000000002</v>
      </c>
      <c r="G3" s="552">
        <v>2160</v>
      </c>
      <c r="H3" s="529">
        <v>6738</v>
      </c>
      <c r="I3" s="527">
        <v>465</v>
      </c>
      <c r="J3" s="525">
        <f>G3/H3*SUM(C3:C8)*I3</f>
        <v>389059.661620659</v>
      </c>
      <c r="K3" s="531">
        <f>J3+SUM(F3:F8)</f>
        <v>1041020.2616206589</v>
      </c>
      <c r="L3" s="525">
        <f>K3/SUM(C3:C8)</f>
        <v>398.8583377856931</v>
      </c>
      <c r="M3" s="1">
        <v>77</v>
      </c>
      <c r="N3" s="7">
        <f>C3/30</f>
        <v>31</v>
      </c>
      <c r="O3" s="39">
        <f>M3-N3</f>
        <v>46</v>
      </c>
      <c r="W3" s="550" t="s">
        <v>108</v>
      </c>
      <c r="X3" s="44" t="s">
        <v>94</v>
      </c>
      <c r="Y3" s="23">
        <v>1408.5</v>
      </c>
      <c r="Z3" s="44">
        <v>1.37</v>
      </c>
      <c r="AA3" s="49">
        <v>178</v>
      </c>
      <c r="AB3" s="50">
        <f>Y3*Z3*AA3</f>
        <v>343476.81000000006</v>
      </c>
      <c r="AC3" s="552">
        <v>2160</v>
      </c>
      <c r="AD3" s="529">
        <v>6738</v>
      </c>
      <c r="AE3" s="527">
        <v>465</v>
      </c>
      <c r="AF3" s="525">
        <f>AC3/AD3*SUM(Y3:Y8)*AE3</f>
        <v>615340.33837934106</v>
      </c>
      <c r="AG3" s="531">
        <f>AF3+SUM(AB3:AB8)</f>
        <v>1647973.5183793409</v>
      </c>
      <c r="AH3" s="525">
        <f>AG3/SUM(Y3:Y8)</f>
        <v>399.21839108026671</v>
      </c>
      <c r="AI3" s="1">
        <v>77</v>
      </c>
      <c r="AJ3" s="7">
        <f t="shared" ref="AJ3:AJ13" si="0">Y3/30</f>
        <v>46.95</v>
      </c>
      <c r="AK3" s="7">
        <f>AI3-AJ3</f>
        <v>30.049999999999997</v>
      </c>
      <c r="AL3">
        <v>49</v>
      </c>
    </row>
    <row r="4" spans="1:38">
      <c r="A4" s="550"/>
      <c r="B4" s="44" t="s">
        <v>98</v>
      </c>
      <c r="C4" s="60">
        <v>360</v>
      </c>
      <c r="D4" s="44">
        <v>1.37</v>
      </c>
      <c r="E4" s="49">
        <v>178</v>
      </c>
      <c r="F4" s="50">
        <f t="shared" ref="F4:F35" si="1">C4*D4*E4</f>
        <v>87789.6</v>
      </c>
      <c r="G4" s="553"/>
      <c r="H4" s="535"/>
      <c r="I4" s="534"/>
      <c r="J4" s="533"/>
      <c r="K4" s="536"/>
      <c r="L4" s="533"/>
      <c r="M4" s="1">
        <v>31</v>
      </c>
      <c r="N4" s="7">
        <f t="shared" ref="N4:N13" si="2">C4/30</f>
        <v>12</v>
      </c>
      <c r="O4" s="39">
        <f t="shared" ref="O4:O35" si="3">M4-N4</f>
        <v>19</v>
      </c>
      <c r="W4" s="550"/>
      <c r="X4" s="44" t="s">
        <v>98</v>
      </c>
      <c r="Y4" s="23">
        <v>586.5</v>
      </c>
      <c r="Z4" s="44">
        <v>1.37</v>
      </c>
      <c r="AA4" s="49">
        <v>178</v>
      </c>
      <c r="AB4" s="50">
        <f t="shared" ref="AB4:AB35" si="4">Y4*Z4*AA4</f>
        <v>143023.89000000001</v>
      </c>
      <c r="AC4" s="553"/>
      <c r="AD4" s="535"/>
      <c r="AE4" s="534"/>
      <c r="AF4" s="533"/>
      <c r="AG4" s="536"/>
      <c r="AH4" s="533"/>
      <c r="AI4" s="1">
        <v>31</v>
      </c>
      <c r="AJ4" s="7">
        <f t="shared" si="0"/>
        <v>19.55</v>
      </c>
      <c r="AK4" s="7">
        <f t="shared" ref="AK4:AK35" si="5">AI4-AJ4</f>
        <v>11.45</v>
      </c>
      <c r="AL4">
        <v>21</v>
      </c>
    </row>
    <row r="5" spans="1:38">
      <c r="A5" s="550"/>
      <c r="B5" s="44" t="s">
        <v>95</v>
      </c>
      <c r="C5" s="60">
        <v>330</v>
      </c>
      <c r="D5" s="44">
        <v>1.47</v>
      </c>
      <c r="E5" s="49">
        <v>178</v>
      </c>
      <c r="F5" s="50">
        <f t="shared" si="1"/>
        <v>86347.799999999988</v>
      </c>
      <c r="G5" s="553"/>
      <c r="H5" s="535"/>
      <c r="I5" s="534"/>
      <c r="J5" s="533"/>
      <c r="K5" s="536"/>
      <c r="L5" s="533"/>
      <c r="M5" s="1">
        <v>32</v>
      </c>
      <c r="N5" s="7">
        <f t="shared" si="2"/>
        <v>11</v>
      </c>
      <c r="O5" s="39">
        <f t="shared" si="3"/>
        <v>21</v>
      </c>
      <c r="W5" s="550"/>
      <c r="X5" s="44" t="s">
        <v>95</v>
      </c>
      <c r="Y5" s="23">
        <v>617</v>
      </c>
      <c r="Z5" s="44">
        <v>1.47</v>
      </c>
      <c r="AA5" s="49">
        <v>178</v>
      </c>
      <c r="AB5" s="50">
        <f t="shared" si="4"/>
        <v>161444.22</v>
      </c>
      <c r="AC5" s="553"/>
      <c r="AD5" s="535"/>
      <c r="AE5" s="534"/>
      <c r="AF5" s="533"/>
      <c r="AG5" s="536"/>
      <c r="AH5" s="533"/>
      <c r="AI5" s="1">
        <v>32</v>
      </c>
      <c r="AJ5" s="7">
        <f t="shared" si="0"/>
        <v>20.566666666666666</v>
      </c>
      <c r="AK5" s="7">
        <f t="shared" si="5"/>
        <v>11.433333333333334</v>
      </c>
      <c r="AL5">
        <v>21</v>
      </c>
    </row>
    <row r="6" spans="1:38">
      <c r="A6" s="550"/>
      <c r="B6" s="44" t="s">
        <v>102</v>
      </c>
      <c r="C6" s="60">
        <v>300</v>
      </c>
      <c r="D6" s="44">
        <v>1.47</v>
      </c>
      <c r="E6" s="49">
        <v>178</v>
      </c>
      <c r="F6" s="50">
        <f t="shared" si="1"/>
        <v>78498</v>
      </c>
      <c r="G6" s="553"/>
      <c r="H6" s="535"/>
      <c r="I6" s="534"/>
      <c r="J6" s="533"/>
      <c r="K6" s="536"/>
      <c r="L6" s="533"/>
      <c r="M6" s="1">
        <v>25</v>
      </c>
      <c r="N6" s="7">
        <f t="shared" si="2"/>
        <v>10</v>
      </c>
      <c r="O6" s="39">
        <f t="shared" si="3"/>
        <v>15</v>
      </c>
      <c r="W6" s="550"/>
      <c r="X6" s="44" t="s">
        <v>102</v>
      </c>
      <c r="Y6" s="23">
        <v>453.5</v>
      </c>
      <c r="Z6" s="44">
        <v>1.47</v>
      </c>
      <c r="AA6" s="49">
        <v>178</v>
      </c>
      <c r="AB6" s="50">
        <f t="shared" si="4"/>
        <v>118662.81</v>
      </c>
      <c r="AC6" s="553"/>
      <c r="AD6" s="535"/>
      <c r="AE6" s="534"/>
      <c r="AF6" s="533"/>
      <c r="AG6" s="536"/>
      <c r="AH6" s="533"/>
      <c r="AI6" s="1">
        <v>25</v>
      </c>
      <c r="AJ6" s="7">
        <f t="shared" si="0"/>
        <v>15.116666666666667</v>
      </c>
      <c r="AK6" s="7">
        <f t="shared" si="5"/>
        <v>9.8833333333333329</v>
      </c>
      <c r="AL6">
        <v>17</v>
      </c>
    </row>
    <row r="7" spans="1:38">
      <c r="A7" s="550"/>
      <c r="B7" s="44" t="s">
        <v>96</v>
      </c>
      <c r="C7" s="60">
        <v>450</v>
      </c>
      <c r="D7" s="44">
        <v>1.37</v>
      </c>
      <c r="E7" s="49">
        <v>178</v>
      </c>
      <c r="F7" s="50">
        <f t="shared" si="1"/>
        <v>109737</v>
      </c>
      <c r="G7" s="553"/>
      <c r="H7" s="535"/>
      <c r="I7" s="534"/>
      <c r="J7" s="533"/>
      <c r="K7" s="536"/>
      <c r="L7" s="533"/>
      <c r="M7" s="1">
        <v>37</v>
      </c>
      <c r="N7" s="7">
        <f t="shared" si="2"/>
        <v>15</v>
      </c>
      <c r="O7" s="39">
        <f t="shared" si="3"/>
        <v>22</v>
      </c>
      <c r="W7" s="550"/>
      <c r="X7" s="44" t="s">
        <v>96</v>
      </c>
      <c r="Y7" s="23">
        <v>673.5</v>
      </c>
      <c r="Z7" s="44">
        <v>1.37</v>
      </c>
      <c r="AA7" s="49">
        <v>178</v>
      </c>
      <c r="AB7" s="50">
        <f t="shared" si="4"/>
        <v>164239.71000000002</v>
      </c>
      <c r="AC7" s="553"/>
      <c r="AD7" s="535"/>
      <c r="AE7" s="534"/>
      <c r="AF7" s="533"/>
      <c r="AG7" s="536"/>
      <c r="AH7" s="533"/>
      <c r="AI7" s="1">
        <v>37</v>
      </c>
      <c r="AJ7" s="7">
        <f t="shared" si="0"/>
        <v>22.45</v>
      </c>
      <c r="AK7" s="7">
        <f t="shared" si="5"/>
        <v>14.55</v>
      </c>
      <c r="AL7">
        <v>24</v>
      </c>
    </row>
    <row r="8" spans="1:38">
      <c r="A8" s="550"/>
      <c r="B8" s="44" t="s">
        <v>103</v>
      </c>
      <c r="C8" s="60">
        <v>240</v>
      </c>
      <c r="D8" s="44">
        <v>1.47</v>
      </c>
      <c r="E8" s="49">
        <v>178</v>
      </c>
      <c r="F8" s="50">
        <f t="shared" si="1"/>
        <v>62798.400000000001</v>
      </c>
      <c r="G8" s="554"/>
      <c r="H8" s="530"/>
      <c r="I8" s="528"/>
      <c r="J8" s="526"/>
      <c r="K8" s="532"/>
      <c r="L8" s="526"/>
      <c r="M8" s="1">
        <v>21</v>
      </c>
      <c r="N8" s="7">
        <f t="shared" si="2"/>
        <v>8</v>
      </c>
      <c r="O8" s="39">
        <f t="shared" si="3"/>
        <v>13</v>
      </c>
      <c r="W8" s="550"/>
      <c r="X8" s="44" t="s">
        <v>103</v>
      </c>
      <c r="Y8" s="23">
        <v>389</v>
      </c>
      <c r="Z8" s="44">
        <v>1.47</v>
      </c>
      <c r="AA8" s="49">
        <v>178</v>
      </c>
      <c r="AB8" s="50">
        <f t="shared" si="4"/>
        <v>101785.74</v>
      </c>
      <c r="AC8" s="554"/>
      <c r="AD8" s="530"/>
      <c r="AE8" s="528"/>
      <c r="AF8" s="526"/>
      <c r="AG8" s="532"/>
      <c r="AH8" s="526"/>
      <c r="AI8" s="1">
        <v>21</v>
      </c>
      <c r="AJ8" s="7">
        <f t="shared" si="0"/>
        <v>12.966666666666667</v>
      </c>
      <c r="AK8" s="7">
        <f t="shared" si="5"/>
        <v>8.0333333333333332</v>
      </c>
      <c r="AL8">
        <v>15</v>
      </c>
    </row>
    <row r="9" spans="1:38">
      <c r="A9" s="550" t="s">
        <v>109</v>
      </c>
      <c r="B9" s="44" t="s">
        <v>101</v>
      </c>
      <c r="C9" s="60">
        <v>1320</v>
      </c>
      <c r="D9" s="44">
        <v>0.97</v>
      </c>
      <c r="E9" s="49">
        <v>178</v>
      </c>
      <c r="F9" s="50">
        <f t="shared" si="1"/>
        <v>227911.19999999998</v>
      </c>
      <c r="G9" s="552">
        <v>2370</v>
      </c>
      <c r="H9" s="529">
        <v>7344</v>
      </c>
      <c r="I9" s="527">
        <v>465</v>
      </c>
      <c r="J9" s="525">
        <f>G9/H9*SUM(C9:C13)*I9</f>
        <v>441180.14705882355</v>
      </c>
      <c r="K9" s="531">
        <f>J9+SUM(F9:F13)</f>
        <v>963218.54705882363</v>
      </c>
      <c r="L9" s="525">
        <f>K9/SUM(C9:C13)</f>
        <v>327.62535614245701</v>
      </c>
      <c r="M9" s="1">
        <v>109</v>
      </c>
      <c r="N9" s="7">
        <f t="shared" si="2"/>
        <v>44</v>
      </c>
      <c r="O9" s="39">
        <f t="shared" si="3"/>
        <v>65</v>
      </c>
      <c r="W9" s="550" t="s">
        <v>109</v>
      </c>
      <c r="X9" s="44" t="s">
        <v>101</v>
      </c>
      <c r="Y9" s="23">
        <v>1950</v>
      </c>
      <c r="Z9" s="44">
        <v>0.97</v>
      </c>
      <c r="AA9" s="49">
        <v>178</v>
      </c>
      <c r="AB9" s="50">
        <f t="shared" si="4"/>
        <v>336687</v>
      </c>
      <c r="AC9" s="552">
        <v>2370</v>
      </c>
      <c r="AD9" s="529">
        <v>7344</v>
      </c>
      <c r="AE9" s="527">
        <v>465</v>
      </c>
      <c r="AF9" s="525">
        <f>AC9/AD9*SUM(Y9:Y13)*AE9</f>
        <v>660869.8529411765</v>
      </c>
      <c r="AG9" s="531">
        <f>AF9+SUM(AB9:AB13)</f>
        <v>1443105.0929411766</v>
      </c>
      <c r="AH9" s="525">
        <f>AG9/SUM(Y9:Y13)</f>
        <v>327.68053881498105</v>
      </c>
      <c r="AI9" s="1">
        <v>109</v>
      </c>
      <c r="AJ9" s="7">
        <f t="shared" si="0"/>
        <v>65</v>
      </c>
      <c r="AK9" s="7">
        <f t="shared" si="5"/>
        <v>44</v>
      </c>
      <c r="AL9">
        <v>65</v>
      </c>
    </row>
    <row r="10" spans="1:38">
      <c r="A10" s="550"/>
      <c r="B10" s="44" t="s">
        <v>95</v>
      </c>
      <c r="C10" s="60">
        <v>420</v>
      </c>
      <c r="D10" s="44">
        <v>1.02</v>
      </c>
      <c r="E10" s="49">
        <v>178</v>
      </c>
      <c r="F10" s="50">
        <f t="shared" si="1"/>
        <v>76255.200000000012</v>
      </c>
      <c r="G10" s="553"/>
      <c r="H10" s="535"/>
      <c r="I10" s="534"/>
      <c r="J10" s="533"/>
      <c r="K10" s="536"/>
      <c r="L10" s="533"/>
      <c r="M10" s="1">
        <v>35</v>
      </c>
      <c r="N10" s="7">
        <f t="shared" si="2"/>
        <v>14</v>
      </c>
      <c r="O10" s="39">
        <f t="shared" si="3"/>
        <v>21</v>
      </c>
      <c r="W10" s="550"/>
      <c r="X10" s="44" t="s">
        <v>95</v>
      </c>
      <c r="Y10" s="23">
        <v>649</v>
      </c>
      <c r="Z10" s="44">
        <v>1.02</v>
      </c>
      <c r="AA10" s="49">
        <v>178</v>
      </c>
      <c r="AB10" s="50">
        <f t="shared" si="4"/>
        <v>117832.44</v>
      </c>
      <c r="AC10" s="553"/>
      <c r="AD10" s="535"/>
      <c r="AE10" s="534"/>
      <c r="AF10" s="533"/>
      <c r="AG10" s="536"/>
      <c r="AH10" s="533"/>
      <c r="AI10" s="1">
        <v>35</v>
      </c>
      <c r="AJ10" s="7">
        <f t="shared" si="0"/>
        <v>21.633333333333333</v>
      </c>
      <c r="AK10" s="7">
        <f t="shared" si="5"/>
        <v>13.366666666666667</v>
      </c>
      <c r="AL10">
        <v>21</v>
      </c>
    </row>
    <row r="11" spans="1:38">
      <c r="A11" s="550"/>
      <c r="B11" s="44" t="s">
        <v>102</v>
      </c>
      <c r="C11" s="60">
        <v>420</v>
      </c>
      <c r="D11" s="44">
        <v>1.02</v>
      </c>
      <c r="E11" s="49">
        <v>178</v>
      </c>
      <c r="F11" s="50">
        <f t="shared" si="1"/>
        <v>76255.200000000012</v>
      </c>
      <c r="G11" s="553"/>
      <c r="H11" s="535"/>
      <c r="I11" s="534"/>
      <c r="J11" s="533"/>
      <c r="K11" s="536"/>
      <c r="L11" s="533"/>
      <c r="M11" s="1">
        <v>36</v>
      </c>
      <c r="N11" s="7">
        <f t="shared" si="2"/>
        <v>14</v>
      </c>
      <c r="O11" s="39">
        <f t="shared" si="3"/>
        <v>22</v>
      </c>
      <c r="W11" s="550"/>
      <c r="X11" s="44" t="s">
        <v>102</v>
      </c>
      <c r="Y11" s="23">
        <v>660</v>
      </c>
      <c r="Z11" s="44">
        <v>1.02</v>
      </c>
      <c r="AA11" s="49">
        <v>178</v>
      </c>
      <c r="AB11" s="50">
        <f t="shared" si="4"/>
        <v>119829.6</v>
      </c>
      <c r="AC11" s="553"/>
      <c r="AD11" s="535"/>
      <c r="AE11" s="534"/>
      <c r="AF11" s="533"/>
      <c r="AG11" s="536"/>
      <c r="AH11" s="533"/>
      <c r="AI11" s="1">
        <v>36</v>
      </c>
      <c r="AJ11" s="7">
        <f t="shared" si="0"/>
        <v>22</v>
      </c>
      <c r="AK11" s="7">
        <f t="shared" si="5"/>
        <v>14</v>
      </c>
      <c r="AL11">
        <v>22</v>
      </c>
    </row>
    <row r="12" spans="1:38">
      <c r="A12" s="550"/>
      <c r="B12" s="44" t="s">
        <v>110</v>
      </c>
      <c r="C12" s="60">
        <v>390</v>
      </c>
      <c r="D12" s="44">
        <v>1.02</v>
      </c>
      <c r="E12" s="49">
        <v>178</v>
      </c>
      <c r="F12" s="50">
        <f t="shared" si="1"/>
        <v>70808.400000000009</v>
      </c>
      <c r="G12" s="553"/>
      <c r="H12" s="535"/>
      <c r="I12" s="534"/>
      <c r="J12" s="533"/>
      <c r="K12" s="536"/>
      <c r="L12" s="533"/>
      <c r="M12" s="1">
        <v>32</v>
      </c>
      <c r="N12" s="7">
        <f t="shared" si="2"/>
        <v>13</v>
      </c>
      <c r="O12" s="39">
        <f t="shared" si="3"/>
        <v>19</v>
      </c>
      <c r="W12" s="550"/>
      <c r="X12" s="44" t="s">
        <v>110</v>
      </c>
      <c r="Y12" s="23">
        <v>572</v>
      </c>
      <c r="Z12" s="44">
        <v>1.02</v>
      </c>
      <c r="AA12" s="49">
        <v>178</v>
      </c>
      <c r="AB12" s="50">
        <f t="shared" si="4"/>
        <v>103852.32</v>
      </c>
      <c r="AC12" s="553"/>
      <c r="AD12" s="535"/>
      <c r="AE12" s="534"/>
      <c r="AF12" s="533"/>
      <c r="AG12" s="536"/>
      <c r="AH12" s="533"/>
      <c r="AI12" s="1">
        <v>32</v>
      </c>
      <c r="AJ12" s="7">
        <f t="shared" si="0"/>
        <v>19.066666666666666</v>
      </c>
      <c r="AK12" s="7">
        <f t="shared" si="5"/>
        <v>12.933333333333334</v>
      </c>
      <c r="AL12">
        <v>19</v>
      </c>
    </row>
    <row r="13" spans="1:38">
      <c r="A13" s="550"/>
      <c r="B13" s="44" t="s">
        <v>111</v>
      </c>
      <c r="C13" s="60">
        <v>390</v>
      </c>
      <c r="D13" s="44">
        <v>1.02</v>
      </c>
      <c r="E13" s="49">
        <v>178</v>
      </c>
      <c r="F13" s="50">
        <f t="shared" si="1"/>
        <v>70808.400000000009</v>
      </c>
      <c r="G13" s="554"/>
      <c r="H13" s="530"/>
      <c r="I13" s="528"/>
      <c r="J13" s="526"/>
      <c r="K13" s="532"/>
      <c r="L13" s="526"/>
      <c r="M13" s="1">
        <v>32</v>
      </c>
      <c r="N13" s="7">
        <f t="shared" si="2"/>
        <v>13</v>
      </c>
      <c r="O13" s="39">
        <f t="shared" si="3"/>
        <v>19</v>
      </c>
      <c r="W13" s="550"/>
      <c r="X13" s="44" t="s">
        <v>111</v>
      </c>
      <c r="Y13" s="23">
        <v>573</v>
      </c>
      <c r="Z13" s="44">
        <v>1.02</v>
      </c>
      <c r="AA13" s="49">
        <v>178</v>
      </c>
      <c r="AB13" s="50">
        <f t="shared" si="4"/>
        <v>104033.88</v>
      </c>
      <c r="AC13" s="554"/>
      <c r="AD13" s="530"/>
      <c r="AE13" s="528"/>
      <c r="AF13" s="526"/>
      <c r="AG13" s="532"/>
      <c r="AH13" s="526"/>
      <c r="AI13" s="1">
        <v>32</v>
      </c>
      <c r="AJ13" s="7">
        <f t="shared" si="0"/>
        <v>19.100000000000001</v>
      </c>
      <c r="AK13" s="7">
        <f t="shared" si="5"/>
        <v>12.899999999999999</v>
      </c>
      <c r="AL13">
        <v>19</v>
      </c>
    </row>
    <row r="14" spans="1:38">
      <c r="A14" s="550" t="s">
        <v>46</v>
      </c>
      <c r="B14" s="44" t="s">
        <v>98</v>
      </c>
      <c r="C14" s="60">
        <v>1200</v>
      </c>
      <c r="D14" s="44">
        <v>0.97</v>
      </c>
      <c r="E14" s="49">
        <v>178</v>
      </c>
      <c r="F14" s="50">
        <f t="shared" si="1"/>
        <v>207192</v>
      </c>
      <c r="G14" s="552">
        <v>2000</v>
      </c>
      <c r="H14" s="529">
        <v>7148</v>
      </c>
      <c r="I14" s="527">
        <v>465</v>
      </c>
      <c r="J14" s="525">
        <f>G14/H14*SUM(C14:C17)*I14</f>
        <v>377308.3379966424</v>
      </c>
      <c r="K14" s="531">
        <f>J14+SUM(F14:F17)</f>
        <v>866897.33799664234</v>
      </c>
      <c r="L14" s="525">
        <f>K14/SUM(C14:C17)</f>
        <v>298.93011655056631</v>
      </c>
      <c r="M14" s="1">
        <v>60</v>
      </c>
      <c r="N14" s="7">
        <f>C14/50</f>
        <v>24</v>
      </c>
      <c r="O14" s="39">
        <f t="shared" si="3"/>
        <v>36</v>
      </c>
      <c r="W14" s="550" t="s">
        <v>46</v>
      </c>
      <c r="X14" s="44" t="s">
        <v>98</v>
      </c>
      <c r="Y14" s="23">
        <v>1800</v>
      </c>
      <c r="Z14" s="44">
        <v>0.97</v>
      </c>
      <c r="AA14" s="49">
        <v>178</v>
      </c>
      <c r="AB14" s="50">
        <f t="shared" si="4"/>
        <v>310788</v>
      </c>
      <c r="AC14" s="552">
        <v>2000</v>
      </c>
      <c r="AD14" s="529">
        <v>7148</v>
      </c>
      <c r="AE14" s="527">
        <v>465</v>
      </c>
      <c r="AF14" s="525">
        <f>AC14/AD14*SUM(Y14:Y17)*AE14</f>
        <v>552691.66200335755</v>
      </c>
      <c r="AG14" s="531">
        <f>AF14+SUM(AB14:AB17)</f>
        <v>1267763.9420033577</v>
      </c>
      <c r="AH14" s="525">
        <f>AG14/SUM(Y14:Y17)</f>
        <v>298.43783945465105</v>
      </c>
      <c r="AI14" s="1">
        <v>60</v>
      </c>
      <c r="AJ14" s="7">
        <f>Y14/50</f>
        <v>36</v>
      </c>
      <c r="AK14" s="7">
        <f t="shared" si="5"/>
        <v>24</v>
      </c>
      <c r="AL14">
        <v>36</v>
      </c>
    </row>
    <row r="15" spans="1:38">
      <c r="A15" s="550"/>
      <c r="B15" s="44" t="s">
        <v>112</v>
      </c>
      <c r="C15" s="60">
        <v>900</v>
      </c>
      <c r="D15" s="44">
        <v>0.92</v>
      </c>
      <c r="E15" s="49">
        <v>178</v>
      </c>
      <c r="F15" s="50">
        <f t="shared" si="1"/>
        <v>147384</v>
      </c>
      <c r="G15" s="553"/>
      <c r="H15" s="535"/>
      <c r="I15" s="534"/>
      <c r="J15" s="533"/>
      <c r="K15" s="536"/>
      <c r="L15" s="533"/>
      <c r="M15" s="1">
        <v>44</v>
      </c>
      <c r="N15" s="7">
        <f>C15/50</f>
        <v>18</v>
      </c>
      <c r="O15" s="39">
        <f t="shared" si="3"/>
        <v>26</v>
      </c>
      <c r="W15" s="550"/>
      <c r="X15" s="44" t="s">
        <v>112</v>
      </c>
      <c r="Y15" s="23">
        <v>1316</v>
      </c>
      <c r="Z15" s="44">
        <v>0.92</v>
      </c>
      <c r="AA15" s="49">
        <v>178</v>
      </c>
      <c r="AB15" s="50">
        <f t="shared" si="4"/>
        <v>215508.16</v>
      </c>
      <c r="AC15" s="553"/>
      <c r="AD15" s="535"/>
      <c r="AE15" s="534"/>
      <c r="AF15" s="533"/>
      <c r="AG15" s="536"/>
      <c r="AH15" s="533"/>
      <c r="AI15" s="1">
        <v>44</v>
      </c>
      <c r="AJ15" s="7">
        <f>Y15/50</f>
        <v>26.32</v>
      </c>
      <c r="AK15" s="7">
        <f t="shared" si="5"/>
        <v>17.68</v>
      </c>
      <c r="AL15">
        <v>27</v>
      </c>
    </row>
    <row r="16" spans="1:38">
      <c r="A16" s="550"/>
      <c r="B16" s="44" t="s">
        <v>96</v>
      </c>
      <c r="C16" s="60">
        <v>450</v>
      </c>
      <c r="D16" s="44">
        <v>0.97</v>
      </c>
      <c r="E16" s="49">
        <v>178</v>
      </c>
      <c r="F16" s="50">
        <f t="shared" si="1"/>
        <v>77697</v>
      </c>
      <c r="G16" s="553"/>
      <c r="H16" s="535"/>
      <c r="I16" s="534"/>
      <c r="J16" s="533"/>
      <c r="K16" s="536"/>
      <c r="L16" s="533"/>
      <c r="M16" s="1">
        <v>17</v>
      </c>
      <c r="N16" s="7">
        <f>C16/50</f>
        <v>9</v>
      </c>
      <c r="O16" s="39">
        <f t="shared" si="3"/>
        <v>8</v>
      </c>
      <c r="W16" s="550"/>
      <c r="X16" s="44" t="s">
        <v>96</v>
      </c>
      <c r="Y16" s="23">
        <v>382</v>
      </c>
      <c r="Z16" s="44">
        <v>0.97</v>
      </c>
      <c r="AA16" s="49">
        <v>178</v>
      </c>
      <c r="AB16" s="50">
        <f t="shared" si="4"/>
        <v>65956.12</v>
      </c>
      <c r="AC16" s="553"/>
      <c r="AD16" s="535"/>
      <c r="AE16" s="534"/>
      <c r="AF16" s="533"/>
      <c r="AG16" s="536"/>
      <c r="AH16" s="533"/>
      <c r="AI16" s="1">
        <v>17</v>
      </c>
      <c r="AJ16" s="7">
        <f>Y16/50</f>
        <v>7.64</v>
      </c>
      <c r="AK16" s="7">
        <f t="shared" si="5"/>
        <v>9.36</v>
      </c>
      <c r="AL16">
        <v>10</v>
      </c>
    </row>
    <row r="17" spans="1:38">
      <c r="A17" s="550"/>
      <c r="B17" s="44" t="s">
        <v>101</v>
      </c>
      <c r="C17" s="60">
        <v>350</v>
      </c>
      <c r="D17" s="44">
        <v>0.92</v>
      </c>
      <c r="E17" s="49">
        <v>178</v>
      </c>
      <c r="F17" s="50">
        <f t="shared" si="1"/>
        <v>57316</v>
      </c>
      <c r="G17" s="554"/>
      <c r="H17" s="530"/>
      <c r="I17" s="528"/>
      <c r="J17" s="526"/>
      <c r="K17" s="532"/>
      <c r="L17" s="526"/>
      <c r="M17" s="1">
        <v>22</v>
      </c>
      <c r="N17" s="7">
        <f>C17/50</f>
        <v>7</v>
      </c>
      <c r="O17" s="39">
        <f t="shared" si="3"/>
        <v>15</v>
      </c>
      <c r="W17" s="550"/>
      <c r="X17" s="44" t="s">
        <v>101</v>
      </c>
      <c r="Y17" s="23">
        <v>750</v>
      </c>
      <c r="Z17" s="44">
        <v>0.92</v>
      </c>
      <c r="AA17" s="49">
        <v>178</v>
      </c>
      <c r="AB17" s="50">
        <f t="shared" si="4"/>
        <v>122820</v>
      </c>
      <c r="AC17" s="554"/>
      <c r="AD17" s="530"/>
      <c r="AE17" s="528"/>
      <c r="AF17" s="526"/>
      <c r="AG17" s="532"/>
      <c r="AH17" s="526"/>
      <c r="AI17" s="1">
        <v>22</v>
      </c>
      <c r="AJ17" s="7">
        <f>Y17/50</f>
        <v>15</v>
      </c>
      <c r="AK17" s="7">
        <f t="shared" si="5"/>
        <v>7</v>
      </c>
      <c r="AL17">
        <v>13</v>
      </c>
    </row>
    <row r="18" spans="1:38">
      <c r="A18" s="550" t="s">
        <v>113</v>
      </c>
      <c r="B18" s="44" t="s">
        <v>98</v>
      </c>
      <c r="C18" s="60">
        <v>240</v>
      </c>
      <c r="D18" s="44">
        <v>4.5</v>
      </c>
      <c r="E18" s="49">
        <v>178</v>
      </c>
      <c r="F18" s="50">
        <f t="shared" si="1"/>
        <v>192240</v>
      </c>
      <c r="G18" s="552">
        <v>1900</v>
      </c>
      <c r="H18" s="529">
        <v>2118</v>
      </c>
      <c r="I18" s="527">
        <v>465</v>
      </c>
      <c r="J18" s="525">
        <f>G18/H18*SUM(C18:C21)*I18</f>
        <v>350396.60056657222</v>
      </c>
      <c r="K18" s="531">
        <f>J18+SUM(F18:F21)</f>
        <v>1005614.6005665723</v>
      </c>
      <c r="L18" s="525">
        <f>K18/SUM(C18:C21)</f>
        <v>1197.1602387697289</v>
      </c>
      <c r="M18" s="1">
        <v>21</v>
      </c>
      <c r="N18" s="7">
        <f t="shared" ref="N18:N35" si="6">C18/30</f>
        <v>8</v>
      </c>
      <c r="O18" s="39">
        <f t="shared" si="3"/>
        <v>13</v>
      </c>
      <c r="W18" s="550" t="s">
        <v>113</v>
      </c>
      <c r="X18" s="44" t="s">
        <v>98</v>
      </c>
      <c r="Y18" s="23">
        <v>380</v>
      </c>
      <c r="Z18" s="44">
        <v>4.5</v>
      </c>
      <c r="AA18" s="49">
        <v>178</v>
      </c>
      <c r="AB18" s="50">
        <f t="shared" si="4"/>
        <v>304380</v>
      </c>
      <c r="AC18" s="552">
        <v>1900</v>
      </c>
      <c r="AD18" s="529">
        <v>2118</v>
      </c>
      <c r="AE18" s="527">
        <v>465</v>
      </c>
      <c r="AF18" s="525">
        <f>AC18/AD18*SUM(Y18:Y21)*AE18</f>
        <v>533103.39943342772</v>
      </c>
      <c r="AG18" s="531">
        <f>AF18+SUM(AB18:AB21)</f>
        <v>1530348.3994334277</v>
      </c>
      <c r="AH18" s="525">
        <f>AG18/SUM(Y18:Y21)</f>
        <v>1197.455711606751</v>
      </c>
      <c r="AI18" s="1">
        <v>21</v>
      </c>
      <c r="AJ18" s="7">
        <f t="shared" ref="AJ18:AJ35" si="7">Y18/30</f>
        <v>12.666666666666666</v>
      </c>
      <c r="AK18" s="7">
        <f t="shared" si="5"/>
        <v>8.3333333333333339</v>
      </c>
      <c r="AL18">
        <v>12</v>
      </c>
    </row>
    <row r="19" spans="1:38">
      <c r="A19" s="550"/>
      <c r="B19" s="44" t="s">
        <v>95</v>
      </c>
      <c r="C19" s="60">
        <v>240</v>
      </c>
      <c r="D19" s="44">
        <v>4.5</v>
      </c>
      <c r="E19" s="49">
        <v>178</v>
      </c>
      <c r="F19" s="50">
        <f t="shared" si="1"/>
        <v>192240</v>
      </c>
      <c r="G19" s="553"/>
      <c r="H19" s="535"/>
      <c r="I19" s="534"/>
      <c r="J19" s="533"/>
      <c r="K19" s="536"/>
      <c r="L19" s="533"/>
      <c r="M19" s="1">
        <v>20</v>
      </c>
      <c r="N19" s="7">
        <f t="shared" si="6"/>
        <v>8</v>
      </c>
      <c r="O19" s="39">
        <f t="shared" si="3"/>
        <v>12</v>
      </c>
      <c r="W19" s="550"/>
      <c r="X19" s="44" t="s">
        <v>95</v>
      </c>
      <c r="Y19" s="23">
        <v>359</v>
      </c>
      <c r="Z19" s="44">
        <v>4.5</v>
      </c>
      <c r="AA19" s="49">
        <v>178</v>
      </c>
      <c r="AB19" s="50">
        <f t="shared" si="4"/>
        <v>287559</v>
      </c>
      <c r="AC19" s="553"/>
      <c r="AD19" s="535"/>
      <c r="AE19" s="534"/>
      <c r="AF19" s="533"/>
      <c r="AG19" s="536"/>
      <c r="AH19" s="533"/>
      <c r="AI19" s="1">
        <v>20</v>
      </c>
      <c r="AJ19" s="7">
        <f t="shared" si="7"/>
        <v>11.966666666666667</v>
      </c>
      <c r="AK19" s="7">
        <f t="shared" si="5"/>
        <v>8.0333333333333332</v>
      </c>
      <c r="AL19">
        <v>12</v>
      </c>
    </row>
    <row r="20" spans="1:38">
      <c r="A20" s="550"/>
      <c r="B20" s="44" t="s">
        <v>96</v>
      </c>
      <c r="C20" s="60">
        <v>180</v>
      </c>
      <c r="D20" s="44">
        <v>3.95</v>
      </c>
      <c r="E20" s="49">
        <v>178</v>
      </c>
      <c r="F20" s="50">
        <f t="shared" si="1"/>
        <v>126558</v>
      </c>
      <c r="G20" s="553"/>
      <c r="H20" s="535"/>
      <c r="I20" s="534"/>
      <c r="J20" s="533"/>
      <c r="K20" s="536"/>
      <c r="L20" s="533"/>
      <c r="M20" s="1">
        <v>15</v>
      </c>
      <c r="N20" s="7">
        <f t="shared" si="6"/>
        <v>6</v>
      </c>
      <c r="O20" s="39">
        <f t="shared" si="3"/>
        <v>9</v>
      </c>
      <c r="W20" s="550"/>
      <c r="X20" s="44" t="s">
        <v>96</v>
      </c>
      <c r="Y20" s="23">
        <v>270</v>
      </c>
      <c r="Z20" s="44">
        <v>3.95</v>
      </c>
      <c r="AA20" s="49">
        <v>178</v>
      </c>
      <c r="AB20" s="50">
        <f t="shared" si="4"/>
        <v>189837</v>
      </c>
      <c r="AC20" s="553"/>
      <c r="AD20" s="535"/>
      <c r="AE20" s="534"/>
      <c r="AF20" s="533"/>
      <c r="AG20" s="536"/>
      <c r="AH20" s="533"/>
      <c r="AI20" s="1">
        <v>15</v>
      </c>
      <c r="AJ20" s="7">
        <f t="shared" si="7"/>
        <v>9</v>
      </c>
      <c r="AK20" s="7">
        <f t="shared" si="5"/>
        <v>6</v>
      </c>
      <c r="AL20">
        <v>9</v>
      </c>
    </row>
    <row r="21" spans="1:38">
      <c r="A21" s="550"/>
      <c r="B21" s="44" t="s">
        <v>102</v>
      </c>
      <c r="C21" s="60">
        <v>180</v>
      </c>
      <c r="D21" s="44">
        <v>4.5</v>
      </c>
      <c r="E21" s="49">
        <v>178</v>
      </c>
      <c r="F21" s="50">
        <f t="shared" si="1"/>
        <v>144180</v>
      </c>
      <c r="G21" s="554"/>
      <c r="H21" s="530"/>
      <c r="I21" s="528"/>
      <c r="J21" s="526"/>
      <c r="K21" s="532"/>
      <c r="L21" s="526"/>
      <c r="M21" s="1">
        <v>15</v>
      </c>
      <c r="N21" s="7">
        <f t="shared" si="6"/>
        <v>6</v>
      </c>
      <c r="O21" s="39">
        <f t="shared" si="3"/>
        <v>9</v>
      </c>
      <c r="W21" s="550"/>
      <c r="X21" s="44" t="s">
        <v>102</v>
      </c>
      <c r="Y21" s="23">
        <v>269</v>
      </c>
      <c r="Z21" s="44">
        <v>4.5</v>
      </c>
      <c r="AA21" s="49">
        <v>178</v>
      </c>
      <c r="AB21" s="50">
        <f t="shared" si="4"/>
        <v>215469</v>
      </c>
      <c r="AC21" s="554"/>
      <c r="AD21" s="530"/>
      <c r="AE21" s="528"/>
      <c r="AF21" s="526"/>
      <c r="AG21" s="532"/>
      <c r="AH21" s="526"/>
      <c r="AI21" s="1">
        <v>15</v>
      </c>
      <c r="AJ21" s="7">
        <f t="shared" si="7"/>
        <v>8.9666666666666668</v>
      </c>
      <c r="AK21" s="7">
        <f t="shared" si="5"/>
        <v>6.0333333333333332</v>
      </c>
      <c r="AL21">
        <v>9</v>
      </c>
    </row>
    <row r="22" spans="1:38">
      <c r="A22" s="550">
        <v>134</v>
      </c>
      <c r="B22" s="44" t="s">
        <v>101</v>
      </c>
      <c r="C22" s="60">
        <v>390</v>
      </c>
      <c r="D22" s="44">
        <v>1.4</v>
      </c>
      <c r="E22" s="49">
        <v>178</v>
      </c>
      <c r="F22" s="50">
        <f t="shared" si="1"/>
        <v>97188</v>
      </c>
      <c r="G22" s="552">
        <v>1700</v>
      </c>
      <c r="H22" s="529">
        <v>4010</v>
      </c>
      <c r="I22" s="527">
        <v>465</v>
      </c>
      <c r="J22" s="525">
        <f>G22/H22*SUM(C22:C25)*I22</f>
        <v>313440.14962593518</v>
      </c>
      <c r="K22" s="531">
        <f>J22+SUM(F22:F25)</f>
        <v>709668.14962593513</v>
      </c>
      <c r="L22" s="525">
        <f>K22/SUM(C22:C25)</f>
        <v>446.33216957605981</v>
      </c>
      <c r="M22" s="1">
        <v>34</v>
      </c>
      <c r="N22" s="7">
        <f t="shared" si="6"/>
        <v>13</v>
      </c>
      <c r="O22" s="39">
        <f t="shared" si="3"/>
        <v>21</v>
      </c>
      <c r="W22" s="550">
        <v>134</v>
      </c>
      <c r="X22" s="44" t="s">
        <v>101</v>
      </c>
      <c r="Y22" s="23">
        <v>621</v>
      </c>
      <c r="Z22" s="44">
        <v>1.4</v>
      </c>
      <c r="AA22" s="49">
        <v>178</v>
      </c>
      <c r="AB22" s="50">
        <f t="shared" si="4"/>
        <v>154753.19999999998</v>
      </c>
      <c r="AC22" s="552">
        <v>1700</v>
      </c>
      <c r="AD22" s="529">
        <v>4010</v>
      </c>
      <c r="AE22" s="527">
        <v>465</v>
      </c>
      <c r="AF22" s="525">
        <f>AC22/AD22*SUM(Y22:Y25)*AE22</f>
        <v>477059.85037406487</v>
      </c>
      <c r="AG22" s="531">
        <f>AF22+SUM(AB22:AB25)</f>
        <v>1080123.8503740649</v>
      </c>
      <c r="AH22" s="525">
        <f>AG22/SUM(Y22:Y25)</f>
        <v>446.33216957605987</v>
      </c>
      <c r="AI22" s="1">
        <v>34</v>
      </c>
      <c r="AJ22" s="7">
        <f t="shared" si="7"/>
        <v>20.7</v>
      </c>
      <c r="AK22" s="7">
        <f t="shared" si="5"/>
        <v>13.3</v>
      </c>
      <c r="AL22">
        <v>20</v>
      </c>
    </row>
    <row r="23" spans="1:38">
      <c r="A23" s="550"/>
      <c r="B23" s="44" t="s">
        <v>114</v>
      </c>
      <c r="C23" s="60">
        <v>360</v>
      </c>
      <c r="D23" s="44">
        <v>1.4</v>
      </c>
      <c r="E23" s="49">
        <v>178</v>
      </c>
      <c r="F23" s="50">
        <f t="shared" si="1"/>
        <v>89711.999999999985</v>
      </c>
      <c r="G23" s="553"/>
      <c r="H23" s="535"/>
      <c r="I23" s="534"/>
      <c r="J23" s="533"/>
      <c r="K23" s="536"/>
      <c r="L23" s="533"/>
      <c r="M23" s="1">
        <v>30</v>
      </c>
      <c r="N23" s="7">
        <f t="shared" si="6"/>
        <v>12</v>
      </c>
      <c r="O23" s="39">
        <f t="shared" si="3"/>
        <v>18</v>
      </c>
      <c r="W23" s="550"/>
      <c r="X23" s="44" t="s">
        <v>114</v>
      </c>
      <c r="Y23" s="23">
        <v>544</v>
      </c>
      <c r="Z23" s="44">
        <v>1.4</v>
      </c>
      <c r="AA23" s="49">
        <v>178</v>
      </c>
      <c r="AB23" s="50">
        <f t="shared" si="4"/>
        <v>135564.79999999999</v>
      </c>
      <c r="AC23" s="553"/>
      <c r="AD23" s="535"/>
      <c r="AE23" s="534"/>
      <c r="AF23" s="533"/>
      <c r="AG23" s="536"/>
      <c r="AH23" s="533"/>
      <c r="AI23" s="1">
        <v>30</v>
      </c>
      <c r="AJ23" s="7">
        <f t="shared" si="7"/>
        <v>18.133333333333333</v>
      </c>
      <c r="AK23" s="7">
        <f t="shared" si="5"/>
        <v>11.866666666666667</v>
      </c>
      <c r="AL23">
        <v>18</v>
      </c>
    </row>
    <row r="24" spans="1:38">
      <c r="A24" s="550"/>
      <c r="B24" s="44" t="s">
        <v>112</v>
      </c>
      <c r="C24" s="60">
        <v>450</v>
      </c>
      <c r="D24" s="44">
        <v>1.4</v>
      </c>
      <c r="E24" s="49">
        <v>178</v>
      </c>
      <c r="F24" s="50">
        <f t="shared" si="1"/>
        <v>112140</v>
      </c>
      <c r="G24" s="553"/>
      <c r="H24" s="535"/>
      <c r="I24" s="534"/>
      <c r="J24" s="533"/>
      <c r="K24" s="536"/>
      <c r="L24" s="533"/>
      <c r="M24" s="1">
        <v>38</v>
      </c>
      <c r="N24" s="7">
        <f t="shared" si="6"/>
        <v>15</v>
      </c>
      <c r="O24" s="39">
        <f t="shared" si="3"/>
        <v>23</v>
      </c>
      <c r="W24" s="550"/>
      <c r="X24" s="44" t="s">
        <v>112</v>
      </c>
      <c r="Y24" s="23">
        <v>705</v>
      </c>
      <c r="Z24" s="44">
        <v>1.4</v>
      </c>
      <c r="AA24" s="49">
        <v>178</v>
      </c>
      <c r="AB24" s="50">
        <f t="shared" si="4"/>
        <v>175685.99999999997</v>
      </c>
      <c r="AC24" s="553"/>
      <c r="AD24" s="535"/>
      <c r="AE24" s="534"/>
      <c r="AF24" s="533"/>
      <c r="AG24" s="536"/>
      <c r="AH24" s="533"/>
      <c r="AI24" s="1">
        <v>38</v>
      </c>
      <c r="AJ24" s="7">
        <f t="shared" si="7"/>
        <v>23.5</v>
      </c>
      <c r="AK24" s="7">
        <f t="shared" si="5"/>
        <v>14.5</v>
      </c>
      <c r="AL24">
        <v>23</v>
      </c>
    </row>
    <row r="25" spans="1:38">
      <c r="A25" s="550"/>
      <c r="B25" s="44" t="s">
        <v>100</v>
      </c>
      <c r="C25" s="60">
        <v>390</v>
      </c>
      <c r="D25" s="44">
        <v>1.4</v>
      </c>
      <c r="E25" s="49">
        <v>178</v>
      </c>
      <c r="F25" s="50">
        <f t="shared" si="1"/>
        <v>97188</v>
      </c>
      <c r="G25" s="554"/>
      <c r="H25" s="530"/>
      <c r="I25" s="528"/>
      <c r="J25" s="526"/>
      <c r="K25" s="532"/>
      <c r="L25" s="526"/>
      <c r="M25" s="1">
        <v>31</v>
      </c>
      <c r="N25" s="7">
        <f t="shared" si="6"/>
        <v>13</v>
      </c>
      <c r="O25" s="39">
        <f t="shared" si="3"/>
        <v>18</v>
      </c>
      <c r="W25" s="550"/>
      <c r="X25" s="44" t="s">
        <v>100</v>
      </c>
      <c r="Y25" s="23">
        <v>550</v>
      </c>
      <c r="Z25" s="44">
        <v>1.4</v>
      </c>
      <c r="AA25" s="49">
        <v>178</v>
      </c>
      <c r="AB25" s="50">
        <f t="shared" si="4"/>
        <v>137060</v>
      </c>
      <c r="AC25" s="554"/>
      <c r="AD25" s="530"/>
      <c r="AE25" s="528"/>
      <c r="AF25" s="526"/>
      <c r="AG25" s="532"/>
      <c r="AH25" s="526"/>
      <c r="AI25" s="1">
        <v>31</v>
      </c>
      <c r="AJ25" s="7">
        <f t="shared" si="7"/>
        <v>18.333333333333332</v>
      </c>
      <c r="AK25" s="7">
        <f t="shared" si="5"/>
        <v>12.666666666666668</v>
      </c>
      <c r="AL25">
        <v>19</v>
      </c>
    </row>
    <row r="26" spans="1:38">
      <c r="A26" s="550" t="s">
        <v>115</v>
      </c>
      <c r="B26" s="44" t="s">
        <v>98</v>
      </c>
      <c r="C26" s="60">
        <v>510</v>
      </c>
      <c r="D26" s="44">
        <v>1.22</v>
      </c>
      <c r="E26" s="49">
        <v>178</v>
      </c>
      <c r="F26" s="50">
        <f t="shared" si="1"/>
        <v>110751.59999999999</v>
      </c>
      <c r="G26" s="552">
        <v>1500</v>
      </c>
      <c r="H26" s="529">
        <v>4264</v>
      </c>
      <c r="I26" s="527">
        <v>465</v>
      </c>
      <c r="J26" s="525">
        <f>G26/H26*SUM(C26:C30)*I26</f>
        <v>279719.74671669793</v>
      </c>
      <c r="K26" s="531">
        <f>J26+SUM(F26:F30)</f>
        <v>659073.34671669791</v>
      </c>
      <c r="L26" s="525">
        <f>K26/SUM(C26:C30)</f>
        <v>385.42300977584671</v>
      </c>
      <c r="M26" s="1">
        <v>42</v>
      </c>
      <c r="N26" s="7">
        <f t="shared" si="6"/>
        <v>17</v>
      </c>
      <c r="O26" s="39">
        <f t="shared" si="3"/>
        <v>25</v>
      </c>
      <c r="W26" s="550" t="s">
        <v>115</v>
      </c>
      <c r="X26" s="44" t="s">
        <v>98</v>
      </c>
      <c r="Y26" s="23">
        <v>728</v>
      </c>
      <c r="Z26" s="44">
        <v>1.22</v>
      </c>
      <c r="AA26" s="49">
        <v>178</v>
      </c>
      <c r="AB26" s="50">
        <f t="shared" si="4"/>
        <v>158092.47999999998</v>
      </c>
      <c r="AC26" s="552">
        <v>1500</v>
      </c>
      <c r="AD26" s="529">
        <v>4264</v>
      </c>
      <c r="AE26" s="527">
        <v>465</v>
      </c>
      <c r="AF26" s="525">
        <f>AC26/AD26*SUM(Y26:Y30)*AE26</f>
        <v>417780.25328330207</v>
      </c>
      <c r="AG26" s="531">
        <f>AF26+SUM(AB26:AB30)</f>
        <v>984991.49328330206</v>
      </c>
      <c r="AH26" s="525">
        <f>AG26/SUM(Y26:Y30)</f>
        <v>385.66620723700157</v>
      </c>
      <c r="AI26" s="1">
        <v>42</v>
      </c>
      <c r="AJ26" s="7">
        <f t="shared" si="7"/>
        <v>24.266666666666666</v>
      </c>
      <c r="AK26" s="7">
        <f t="shared" si="5"/>
        <v>17.733333333333334</v>
      </c>
      <c r="AL26">
        <v>25</v>
      </c>
    </row>
    <row r="27" spans="1:38">
      <c r="A27" s="550"/>
      <c r="B27" s="44" t="s">
        <v>95</v>
      </c>
      <c r="C27" s="60">
        <v>240</v>
      </c>
      <c r="D27" s="44">
        <v>1.32</v>
      </c>
      <c r="E27" s="49">
        <v>178</v>
      </c>
      <c r="F27" s="50">
        <f t="shared" si="1"/>
        <v>56390.400000000001</v>
      </c>
      <c r="G27" s="553"/>
      <c r="H27" s="535"/>
      <c r="I27" s="534"/>
      <c r="J27" s="533"/>
      <c r="K27" s="536"/>
      <c r="L27" s="533"/>
      <c r="M27" s="1">
        <v>21</v>
      </c>
      <c r="N27" s="7">
        <f t="shared" si="6"/>
        <v>8</v>
      </c>
      <c r="O27" s="39">
        <f t="shared" si="3"/>
        <v>13</v>
      </c>
      <c r="W27" s="550"/>
      <c r="X27" s="44" t="s">
        <v>95</v>
      </c>
      <c r="Y27" s="23">
        <v>377</v>
      </c>
      <c r="Z27" s="44">
        <v>1.32</v>
      </c>
      <c r="AA27" s="49">
        <v>178</v>
      </c>
      <c r="AB27" s="50">
        <f t="shared" si="4"/>
        <v>88579.920000000013</v>
      </c>
      <c r="AC27" s="553"/>
      <c r="AD27" s="535"/>
      <c r="AE27" s="534"/>
      <c r="AF27" s="533"/>
      <c r="AG27" s="536"/>
      <c r="AH27" s="533"/>
      <c r="AI27" s="1">
        <v>21</v>
      </c>
      <c r="AJ27" s="7">
        <f t="shared" si="7"/>
        <v>12.566666666666666</v>
      </c>
      <c r="AK27" s="7">
        <f t="shared" si="5"/>
        <v>8.4333333333333336</v>
      </c>
      <c r="AL27">
        <v>12</v>
      </c>
    </row>
    <row r="28" spans="1:38">
      <c r="A28" s="550"/>
      <c r="B28" s="44" t="s">
        <v>96</v>
      </c>
      <c r="C28" s="60">
        <v>240</v>
      </c>
      <c r="D28" s="44">
        <v>1.22</v>
      </c>
      <c r="E28" s="49">
        <v>178</v>
      </c>
      <c r="F28" s="50">
        <f t="shared" si="1"/>
        <v>52118.400000000001</v>
      </c>
      <c r="G28" s="553"/>
      <c r="H28" s="535"/>
      <c r="I28" s="534"/>
      <c r="J28" s="533"/>
      <c r="K28" s="536"/>
      <c r="L28" s="533"/>
      <c r="M28" s="1">
        <v>20</v>
      </c>
      <c r="N28" s="7">
        <f t="shared" si="6"/>
        <v>8</v>
      </c>
      <c r="O28" s="39">
        <f t="shared" si="3"/>
        <v>12</v>
      </c>
      <c r="W28" s="550"/>
      <c r="X28" s="44" t="s">
        <v>96</v>
      </c>
      <c r="Y28" s="23">
        <v>350</v>
      </c>
      <c r="Z28" s="44">
        <v>1.22</v>
      </c>
      <c r="AA28" s="49">
        <v>178</v>
      </c>
      <c r="AB28" s="50">
        <f t="shared" si="4"/>
        <v>76006</v>
      </c>
      <c r="AC28" s="553"/>
      <c r="AD28" s="535"/>
      <c r="AE28" s="534"/>
      <c r="AF28" s="533"/>
      <c r="AG28" s="536"/>
      <c r="AH28" s="533"/>
      <c r="AI28" s="1">
        <v>20</v>
      </c>
      <c r="AJ28" s="7">
        <f t="shared" si="7"/>
        <v>11.666666666666666</v>
      </c>
      <c r="AK28" s="7">
        <f t="shared" si="5"/>
        <v>8.3333333333333339</v>
      </c>
      <c r="AL28">
        <v>12</v>
      </c>
    </row>
    <row r="29" spans="1:38">
      <c r="A29" s="550"/>
      <c r="B29" s="44" t="s">
        <v>97</v>
      </c>
      <c r="C29" s="60">
        <v>210</v>
      </c>
      <c r="D29" s="44">
        <v>1.32</v>
      </c>
      <c r="E29" s="49">
        <v>178</v>
      </c>
      <c r="F29" s="50">
        <f t="shared" si="1"/>
        <v>49341.599999999999</v>
      </c>
      <c r="G29" s="553"/>
      <c r="H29" s="535"/>
      <c r="I29" s="534"/>
      <c r="J29" s="533"/>
      <c r="K29" s="536"/>
      <c r="L29" s="533"/>
      <c r="M29" s="1">
        <v>18</v>
      </c>
      <c r="N29" s="7">
        <f t="shared" si="6"/>
        <v>7</v>
      </c>
      <c r="O29" s="39">
        <f t="shared" si="3"/>
        <v>11</v>
      </c>
      <c r="W29" s="550"/>
      <c r="X29" s="44" t="s">
        <v>97</v>
      </c>
      <c r="Y29" s="23">
        <v>330</v>
      </c>
      <c r="Z29" s="44">
        <v>1.32</v>
      </c>
      <c r="AA29" s="49">
        <v>178</v>
      </c>
      <c r="AB29" s="50">
        <f t="shared" si="4"/>
        <v>77536.800000000003</v>
      </c>
      <c r="AC29" s="553"/>
      <c r="AD29" s="535"/>
      <c r="AE29" s="534"/>
      <c r="AF29" s="533"/>
      <c r="AG29" s="536"/>
      <c r="AH29" s="533"/>
      <c r="AI29" s="1">
        <v>18</v>
      </c>
      <c r="AJ29" s="7">
        <f t="shared" si="7"/>
        <v>11</v>
      </c>
      <c r="AK29" s="7">
        <f t="shared" si="5"/>
        <v>7</v>
      </c>
      <c r="AL29">
        <v>11</v>
      </c>
    </row>
    <row r="30" spans="1:38">
      <c r="A30" s="550"/>
      <c r="B30" s="44" t="s">
        <v>116</v>
      </c>
      <c r="C30" s="60">
        <v>510</v>
      </c>
      <c r="D30" s="44">
        <v>1.22</v>
      </c>
      <c r="E30" s="49">
        <v>178</v>
      </c>
      <c r="F30" s="50">
        <f t="shared" si="1"/>
        <v>110751.59999999999</v>
      </c>
      <c r="G30" s="554"/>
      <c r="H30" s="530"/>
      <c r="I30" s="528"/>
      <c r="J30" s="526"/>
      <c r="K30" s="532"/>
      <c r="L30" s="526"/>
      <c r="M30" s="1">
        <v>43</v>
      </c>
      <c r="N30" s="7">
        <f t="shared" si="6"/>
        <v>17</v>
      </c>
      <c r="O30" s="39">
        <f t="shared" si="3"/>
        <v>26</v>
      </c>
      <c r="W30" s="550"/>
      <c r="X30" s="44" t="s">
        <v>116</v>
      </c>
      <c r="Y30" s="23">
        <v>769</v>
      </c>
      <c r="Z30" s="44">
        <v>1.22</v>
      </c>
      <c r="AA30" s="49">
        <v>178</v>
      </c>
      <c r="AB30" s="50">
        <f t="shared" si="4"/>
        <v>166996.03999999998</v>
      </c>
      <c r="AC30" s="554"/>
      <c r="AD30" s="530"/>
      <c r="AE30" s="528"/>
      <c r="AF30" s="526"/>
      <c r="AG30" s="532"/>
      <c r="AH30" s="526"/>
      <c r="AI30" s="1">
        <v>43</v>
      </c>
      <c r="AJ30" s="7">
        <f t="shared" si="7"/>
        <v>25.633333333333333</v>
      </c>
      <c r="AK30" s="7">
        <f t="shared" si="5"/>
        <v>17.366666666666667</v>
      </c>
      <c r="AL30">
        <v>26</v>
      </c>
    </row>
    <row r="31" spans="1:38">
      <c r="A31" s="550" t="s">
        <v>117</v>
      </c>
      <c r="B31" s="44" t="s">
        <v>118</v>
      </c>
      <c r="C31" s="60">
        <v>150</v>
      </c>
      <c r="D31" s="44">
        <v>4.5999999999999996</v>
      </c>
      <c r="E31" s="49">
        <v>178</v>
      </c>
      <c r="F31" s="50">
        <f t="shared" si="1"/>
        <v>122820</v>
      </c>
      <c r="G31" s="552">
        <v>1600</v>
      </c>
      <c r="H31" s="529">
        <v>1875.5</v>
      </c>
      <c r="I31" s="527">
        <v>465</v>
      </c>
      <c r="J31" s="525">
        <f>G31/H31*SUM(C31:C35)*I31</f>
        <v>309421.48760330578</v>
      </c>
      <c r="K31" s="531">
        <f>J31+SUM(F31:F35)</f>
        <v>934735.48760330584</v>
      </c>
      <c r="L31" s="525">
        <f>K31/SUM(C31:C35)</f>
        <v>1198.3788302606486</v>
      </c>
      <c r="M31" s="1">
        <v>12</v>
      </c>
      <c r="N31" s="7">
        <f t="shared" si="6"/>
        <v>5</v>
      </c>
      <c r="O31" s="39">
        <f t="shared" si="3"/>
        <v>7</v>
      </c>
      <c r="W31" s="550" t="s">
        <v>117</v>
      </c>
      <c r="X31" s="44" t="s">
        <v>118</v>
      </c>
      <c r="Y31" s="23">
        <v>207.5</v>
      </c>
      <c r="Z31" s="44">
        <v>4.5999999999999996</v>
      </c>
      <c r="AA31" s="49">
        <v>178</v>
      </c>
      <c r="AB31" s="50">
        <f t="shared" si="4"/>
        <v>169900.99999999997</v>
      </c>
      <c r="AC31" s="552">
        <v>1600</v>
      </c>
      <c r="AD31" s="529">
        <v>1875.5</v>
      </c>
      <c r="AE31" s="527">
        <v>465</v>
      </c>
      <c r="AF31" s="525">
        <f>AC31/AD31*SUM(Y31:Y35)*AE31</f>
        <v>434578.51239669422</v>
      </c>
      <c r="AG31" s="531">
        <f>AF31+SUM(AB31:AB35)</f>
        <v>1312883.9123966941</v>
      </c>
      <c r="AH31" s="525">
        <f>AG31/SUM(Y31:Y35)</f>
        <v>1198.4335120006335</v>
      </c>
      <c r="AI31" s="1">
        <v>12</v>
      </c>
      <c r="AJ31" s="7">
        <f t="shared" si="7"/>
        <v>6.916666666666667</v>
      </c>
      <c r="AK31" s="7">
        <f t="shared" si="5"/>
        <v>5.083333333333333</v>
      </c>
      <c r="AL31">
        <v>7</v>
      </c>
    </row>
    <row r="32" spans="1:38">
      <c r="A32" s="550"/>
      <c r="B32" s="44" t="s">
        <v>119</v>
      </c>
      <c r="C32" s="60">
        <v>150</v>
      </c>
      <c r="D32" s="44">
        <v>4.5999999999999996</v>
      </c>
      <c r="E32" s="49">
        <v>178</v>
      </c>
      <c r="F32" s="50">
        <f t="shared" si="1"/>
        <v>122820</v>
      </c>
      <c r="G32" s="553"/>
      <c r="H32" s="535"/>
      <c r="I32" s="534"/>
      <c r="J32" s="533"/>
      <c r="K32" s="536"/>
      <c r="L32" s="533"/>
      <c r="M32" s="1">
        <v>12</v>
      </c>
      <c r="N32" s="7">
        <f t="shared" si="6"/>
        <v>5</v>
      </c>
      <c r="O32" s="39">
        <f t="shared" si="3"/>
        <v>7</v>
      </c>
      <c r="W32" s="550"/>
      <c r="X32" s="44" t="s">
        <v>119</v>
      </c>
      <c r="Y32" s="23">
        <v>202</v>
      </c>
      <c r="Z32" s="44">
        <v>4.5999999999999996</v>
      </c>
      <c r="AA32" s="49">
        <v>178</v>
      </c>
      <c r="AB32" s="50">
        <f t="shared" si="4"/>
        <v>165397.59999999998</v>
      </c>
      <c r="AC32" s="553"/>
      <c r="AD32" s="535"/>
      <c r="AE32" s="534"/>
      <c r="AF32" s="533"/>
      <c r="AG32" s="536"/>
      <c r="AH32" s="533"/>
      <c r="AI32" s="1">
        <v>12</v>
      </c>
      <c r="AJ32" s="7">
        <f t="shared" si="7"/>
        <v>6.7333333333333334</v>
      </c>
      <c r="AK32" s="7">
        <f t="shared" si="5"/>
        <v>5.2666666666666666</v>
      </c>
      <c r="AL32">
        <v>7</v>
      </c>
    </row>
    <row r="33" spans="1:38">
      <c r="A33" s="550"/>
      <c r="B33" s="44" t="s">
        <v>120</v>
      </c>
      <c r="C33" s="60">
        <v>180</v>
      </c>
      <c r="D33" s="44">
        <v>4.5999999999999996</v>
      </c>
      <c r="E33" s="49">
        <v>178</v>
      </c>
      <c r="F33" s="50">
        <f t="shared" si="1"/>
        <v>147383.99999999997</v>
      </c>
      <c r="G33" s="553"/>
      <c r="H33" s="535"/>
      <c r="I33" s="534"/>
      <c r="J33" s="533"/>
      <c r="K33" s="536"/>
      <c r="L33" s="533"/>
      <c r="M33" s="1">
        <v>15</v>
      </c>
      <c r="N33" s="7">
        <f t="shared" si="6"/>
        <v>6</v>
      </c>
      <c r="O33" s="39">
        <f t="shared" si="3"/>
        <v>9</v>
      </c>
      <c r="W33" s="550"/>
      <c r="X33" s="44" t="s">
        <v>120</v>
      </c>
      <c r="Y33" s="23">
        <v>269</v>
      </c>
      <c r="Z33" s="44">
        <v>4.5999999999999996</v>
      </c>
      <c r="AA33" s="49">
        <v>178</v>
      </c>
      <c r="AB33" s="50">
        <f t="shared" si="4"/>
        <v>220257.19999999998</v>
      </c>
      <c r="AC33" s="553"/>
      <c r="AD33" s="535"/>
      <c r="AE33" s="534"/>
      <c r="AF33" s="533"/>
      <c r="AG33" s="536"/>
      <c r="AH33" s="533"/>
      <c r="AI33" s="1">
        <v>15</v>
      </c>
      <c r="AJ33" s="7">
        <f t="shared" si="7"/>
        <v>8.9666666666666668</v>
      </c>
      <c r="AK33" s="7">
        <f t="shared" si="5"/>
        <v>6.0333333333333332</v>
      </c>
      <c r="AL33">
        <v>9</v>
      </c>
    </row>
    <row r="34" spans="1:38">
      <c r="A34" s="550"/>
      <c r="B34" s="44" t="s">
        <v>121</v>
      </c>
      <c r="C34" s="60">
        <v>150</v>
      </c>
      <c r="D34" s="44">
        <v>4.0999999999999996</v>
      </c>
      <c r="E34" s="49">
        <v>178</v>
      </c>
      <c r="F34" s="50">
        <f t="shared" si="1"/>
        <v>109470</v>
      </c>
      <c r="G34" s="553"/>
      <c r="H34" s="535"/>
      <c r="I34" s="534"/>
      <c r="J34" s="533"/>
      <c r="K34" s="536"/>
      <c r="L34" s="533"/>
      <c r="M34" s="1">
        <v>12</v>
      </c>
      <c r="N34" s="7">
        <f t="shared" si="6"/>
        <v>5</v>
      </c>
      <c r="O34" s="39">
        <f t="shared" si="3"/>
        <v>7</v>
      </c>
      <c r="W34" s="550"/>
      <c r="X34" s="44" t="s">
        <v>121</v>
      </c>
      <c r="Y34" s="23">
        <v>210</v>
      </c>
      <c r="Z34" s="44">
        <v>4.0999999999999996</v>
      </c>
      <c r="AA34" s="49">
        <v>178</v>
      </c>
      <c r="AB34" s="50">
        <f t="shared" si="4"/>
        <v>153257.99999999997</v>
      </c>
      <c r="AC34" s="553"/>
      <c r="AD34" s="535"/>
      <c r="AE34" s="534"/>
      <c r="AF34" s="533"/>
      <c r="AG34" s="536"/>
      <c r="AH34" s="533"/>
      <c r="AI34" s="1">
        <v>12</v>
      </c>
      <c r="AJ34" s="7">
        <f t="shared" si="7"/>
        <v>7</v>
      </c>
      <c r="AK34" s="7">
        <f t="shared" si="5"/>
        <v>5</v>
      </c>
      <c r="AL34">
        <v>7</v>
      </c>
    </row>
    <row r="35" spans="1:38">
      <c r="A35" s="550"/>
      <c r="B35" s="44" t="s">
        <v>122</v>
      </c>
      <c r="C35" s="60">
        <v>150</v>
      </c>
      <c r="D35" s="44">
        <v>4.5999999999999996</v>
      </c>
      <c r="E35" s="49">
        <v>178</v>
      </c>
      <c r="F35" s="50">
        <f t="shared" si="1"/>
        <v>122820</v>
      </c>
      <c r="G35" s="554"/>
      <c r="H35" s="530"/>
      <c r="I35" s="528"/>
      <c r="J35" s="526"/>
      <c r="K35" s="532"/>
      <c r="L35" s="526"/>
      <c r="M35" s="1">
        <v>12</v>
      </c>
      <c r="N35" s="7">
        <f t="shared" si="6"/>
        <v>5</v>
      </c>
      <c r="O35" s="39">
        <f t="shared" si="3"/>
        <v>7</v>
      </c>
      <c r="W35" s="550"/>
      <c r="X35" s="44" t="s">
        <v>122</v>
      </c>
      <c r="Y35" s="23">
        <v>207</v>
      </c>
      <c r="Z35" s="44">
        <v>4.5999999999999996</v>
      </c>
      <c r="AA35" s="49">
        <v>178</v>
      </c>
      <c r="AB35" s="50">
        <f t="shared" si="4"/>
        <v>169491.59999999998</v>
      </c>
      <c r="AC35" s="554"/>
      <c r="AD35" s="530"/>
      <c r="AE35" s="528"/>
      <c r="AF35" s="526"/>
      <c r="AG35" s="532"/>
      <c r="AH35" s="526"/>
      <c r="AI35" s="1">
        <v>12</v>
      </c>
      <c r="AJ35" s="7">
        <f t="shared" si="7"/>
        <v>6.9</v>
      </c>
      <c r="AK35" s="7">
        <f t="shared" si="5"/>
        <v>5.0999999999999996</v>
      </c>
      <c r="AL35">
        <v>7</v>
      </c>
    </row>
    <row r="36" spans="1:38" ht="15.75">
      <c r="A36" s="555" t="s">
        <v>4</v>
      </c>
      <c r="B36" s="556"/>
      <c r="C36" s="2">
        <f>SUM(C3:C35)</f>
        <v>13370</v>
      </c>
      <c r="D36" s="1"/>
      <c r="E36" s="1"/>
      <c r="F36" s="27">
        <f>SUM(F3:F35)</f>
        <v>3719701.6</v>
      </c>
      <c r="G36" s="54">
        <f>SUM(G3:G35)</f>
        <v>13230</v>
      </c>
      <c r="H36" s="2">
        <f>SUM(H3:H35)</f>
        <v>33497.5</v>
      </c>
      <c r="I36" s="1"/>
      <c r="J36" s="27">
        <f>SUM(J3:J35)</f>
        <v>2460526.1311886362</v>
      </c>
      <c r="K36" s="27">
        <f>SUM(K3:K35)</f>
        <v>6180227.7311886372</v>
      </c>
      <c r="L36" s="1"/>
      <c r="M36" s="2">
        <f>SUM(M3:M35)</f>
        <v>1021</v>
      </c>
      <c r="N36" s="27">
        <f>SUM(N3:N35)</f>
        <v>407</v>
      </c>
      <c r="O36" s="55">
        <f>SUM(O3:O35)</f>
        <v>614</v>
      </c>
      <c r="P36" s="39"/>
      <c r="W36" s="555" t="s">
        <v>4</v>
      </c>
      <c r="X36" s="556"/>
      <c r="Y36" s="2">
        <f>SUM(Y3:Y35)</f>
        <v>20127.5</v>
      </c>
      <c r="Z36" s="1"/>
      <c r="AA36" s="1"/>
      <c r="AB36" s="27">
        <f>SUM(AB3:AB35)</f>
        <v>5575766.3399999989</v>
      </c>
      <c r="AC36" s="54">
        <f>SUM(AC3:AC35)</f>
        <v>13230</v>
      </c>
      <c r="AD36" s="2">
        <f>SUM(AD3:AD35)</f>
        <v>33497.5</v>
      </c>
      <c r="AE36" s="1"/>
      <c r="AF36" s="27">
        <f>SUM(AF3:AF35)</f>
        <v>3691423.8688113634</v>
      </c>
      <c r="AG36" s="27">
        <f>SUM(AG3:AG35)</f>
        <v>9267190.2088113632</v>
      </c>
      <c r="AH36" s="1"/>
      <c r="AI36" s="2">
        <f>SUM(AI3:AI35)</f>
        <v>1021</v>
      </c>
      <c r="AJ36" s="27">
        <f>SUM(AJ3:AJ35)</f>
        <v>614.27666666666664</v>
      </c>
      <c r="AK36" s="27">
        <f>SUM(AK3:AK35)</f>
        <v>406.72333333333347</v>
      </c>
    </row>
    <row r="37" spans="1:38">
      <c r="Y37" s="80">
        <v>13370</v>
      </c>
    </row>
    <row r="39" spans="1:38">
      <c r="A39" s="52"/>
      <c r="B39" s="52"/>
      <c r="C39" s="52"/>
      <c r="D39" s="52"/>
      <c r="E39" s="52"/>
      <c r="F39" s="52"/>
      <c r="G39" s="52"/>
      <c r="H39" s="52"/>
      <c r="I39" s="52"/>
      <c r="J39" s="39"/>
    </row>
    <row r="45" spans="1:38" ht="31.5">
      <c r="W45" s="558" t="s">
        <v>0</v>
      </c>
      <c r="X45" s="558"/>
      <c r="Y45" s="3" t="s">
        <v>131</v>
      </c>
      <c r="Z45" s="3" t="s">
        <v>132</v>
      </c>
      <c r="AA45" s="3" t="s">
        <v>133</v>
      </c>
      <c r="AB45" s="53" t="s">
        <v>125</v>
      </c>
      <c r="AC45" s="3" t="s">
        <v>127</v>
      </c>
      <c r="AD45" s="3" t="s">
        <v>128</v>
      </c>
    </row>
    <row r="46" spans="1:38">
      <c r="U46">
        <f>35.5+31.5+31+37*2+36.5+30*40+60</f>
        <v>1468.5</v>
      </c>
      <c r="V46">
        <v>48</v>
      </c>
      <c r="W46" s="550" t="s">
        <v>108</v>
      </c>
      <c r="X46" s="44" t="s">
        <v>94</v>
      </c>
      <c r="Y46" s="60">
        <v>2338.5</v>
      </c>
      <c r="Z46" s="23">
        <v>1403.1</v>
      </c>
      <c r="AA46" s="60">
        <v>935.4</v>
      </c>
      <c r="AB46" s="23">
        <v>77</v>
      </c>
      <c r="AC46" s="58">
        <f>Z46/30</f>
        <v>46.769999999999996</v>
      </c>
      <c r="AD46" s="58">
        <f>AA46/30</f>
        <v>31.18</v>
      </c>
    </row>
    <row r="47" spans="1:38">
      <c r="U47">
        <f>16*30+46.5+60</f>
        <v>586.5</v>
      </c>
      <c r="V47">
        <v>19</v>
      </c>
      <c r="W47" s="550"/>
      <c r="X47" s="44" t="s">
        <v>98</v>
      </c>
      <c r="Y47" s="60">
        <v>946.5</v>
      </c>
      <c r="Z47" s="23">
        <v>567.9</v>
      </c>
      <c r="AA47" s="60">
        <v>378.6</v>
      </c>
      <c r="AB47" s="23">
        <v>31</v>
      </c>
      <c r="AC47" s="58">
        <f t="shared" ref="AC47:AC56" si="8">Z47/30</f>
        <v>18.93</v>
      </c>
      <c r="AD47" s="59">
        <f t="shared" ref="AD47:AD56" si="9">AA47/30</f>
        <v>12.620000000000001</v>
      </c>
    </row>
    <row r="48" spans="1:38">
      <c r="U48">
        <f>23+24+17*30+60</f>
        <v>617</v>
      </c>
      <c r="V48">
        <v>21</v>
      </c>
      <c r="W48" s="550"/>
      <c r="X48" s="44" t="s">
        <v>95</v>
      </c>
      <c r="Y48" s="60">
        <v>947</v>
      </c>
      <c r="Z48" s="23">
        <v>628.20000000000005</v>
      </c>
      <c r="AA48" s="60">
        <v>318.8</v>
      </c>
      <c r="AB48" s="23">
        <v>32</v>
      </c>
      <c r="AC48" s="58">
        <f t="shared" si="8"/>
        <v>20.94</v>
      </c>
      <c r="AD48" s="58">
        <f t="shared" si="9"/>
        <v>10.626666666666667</v>
      </c>
    </row>
    <row r="49" spans="21:30">
      <c r="U49">
        <f>30.5+28.5+38.5+26+11*30</f>
        <v>453.5</v>
      </c>
      <c r="V49">
        <v>15</v>
      </c>
      <c r="W49" s="550"/>
      <c r="X49" s="44" t="s">
        <v>102</v>
      </c>
      <c r="Y49" s="60">
        <v>753.5</v>
      </c>
      <c r="Z49" s="23">
        <v>452.1</v>
      </c>
      <c r="AA49" s="60">
        <v>301.39999999999998</v>
      </c>
      <c r="AB49" s="23">
        <v>25</v>
      </c>
      <c r="AC49" s="58">
        <f t="shared" si="8"/>
        <v>15.07</v>
      </c>
      <c r="AD49" s="58">
        <f t="shared" si="9"/>
        <v>10.046666666666665</v>
      </c>
    </row>
    <row r="50" spans="21:30">
      <c r="U50">
        <v>673.5</v>
      </c>
      <c r="V50">
        <v>22</v>
      </c>
      <c r="W50" s="550"/>
      <c r="X50" s="44" t="s">
        <v>96</v>
      </c>
      <c r="Y50" s="60">
        <v>1123.5</v>
      </c>
      <c r="Z50" s="23">
        <v>674.1</v>
      </c>
      <c r="AA50" s="60">
        <v>449.4</v>
      </c>
      <c r="AB50" s="23">
        <v>37</v>
      </c>
      <c r="AC50" s="58">
        <f t="shared" si="8"/>
        <v>22.470000000000002</v>
      </c>
      <c r="AD50" s="58">
        <f t="shared" si="9"/>
        <v>14.979999999999999</v>
      </c>
    </row>
    <row r="51" spans="21:30">
      <c r="U51">
        <v>329</v>
      </c>
      <c r="V51">
        <v>11</v>
      </c>
      <c r="W51" s="550"/>
      <c r="X51" s="44" t="s">
        <v>103</v>
      </c>
      <c r="Y51" s="60">
        <v>629</v>
      </c>
      <c r="Z51" s="23">
        <v>377.4</v>
      </c>
      <c r="AA51" s="60">
        <v>251.6</v>
      </c>
      <c r="AB51" s="23">
        <v>21</v>
      </c>
      <c r="AC51" s="58">
        <f t="shared" si="8"/>
        <v>12.58</v>
      </c>
      <c r="AD51" s="58">
        <f t="shared" si="9"/>
        <v>8.3866666666666667</v>
      </c>
    </row>
    <row r="52" spans="21:30">
      <c r="U52">
        <f>65*30</f>
        <v>1950</v>
      </c>
      <c r="V52">
        <v>65</v>
      </c>
      <c r="W52" s="550" t="s">
        <v>109</v>
      </c>
      <c r="X52" s="44" t="s">
        <v>101</v>
      </c>
      <c r="Y52" s="60">
        <v>3270</v>
      </c>
      <c r="Z52" s="23">
        <v>1962</v>
      </c>
      <c r="AA52" s="60">
        <v>1308</v>
      </c>
      <c r="AB52" s="23">
        <v>109</v>
      </c>
      <c r="AC52" s="58">
        <f t="shared" si="8"/>
        <v>65.400000000000006</v>
      </c>
      <c r="AD52" s="58">
        <f t="shared" si="9"/>
        <v>43.6</v>
      </c>
    </row>
    <row r="53" spans="21:30">
      <c r="U53">
        <f>15*30+49+5*30</f>
        <v>649</v>
      </c>
      <c r="V53">
        <v>21</v>
      </c>
      <c r="W53" s="550"/>
      <c r="X53" s="44" t="s">
        <v>95</v>
      </c>
      <c r="Y53" s="60">
        <v>1069</v>
      </c>
      <c r="Z53" s="23">
        <v>641.4</v>
      </c>
      <c r="AA53" s="60">
        <v>427.6</v>
      </c>
      <c r="AB53" s="23">
        <v>35</v>
      </c>
      <c r="AC53" s="58">
        <f t="shared" si="8"/>
        <v>21.38</v>
      </c>
      <c r="AD53" s="58">
        <f t="shared" si="9"/>
        <v>14.253333333333334</v>
      </c>
    </row>
    <row r="54" spans="21:30">
      <c r="U54">
        <f>22*30</f>
        <v>660</v>
      </c>
      <c r="V54">
        <v>22</v>
      </c>
      <c r="W54" s="550"/>
      <c r="X54" s="44" t="s">
        <v>102</v>
      </c>
      <c r="Y54" s="60">
        <v>1080</v>
      </c>
      <c r="Z54" s="23">
        <v>648</v>
      </c>
      <c r="AA54" s="60">
        <v>432</v>
      </c>
      <c r="AB54" s="23">
        <v>36</v>
      </c>
      <c r="AC54" s="58">
        <f t="shared" si="8"/>
        <v>21.6</v>
      </c>
      <c r="AD54" s="58">
        <f t="shared" si="9"/>
        <v>14.4</v>
      </c>
    </row>
    <row r="55" spans="21:30">
      <c r="U55">
        <f>18*30+32</f>
        <v>572</v>
      </c>
      <c r="V55">
        <v>19</v>
      </c>
      <c r="W55" s="550"/>
      <c r="X55" s="44" t="s">
        <v>110</v>
      </c>
      <c r="Y55" s="60">
        <v>962</v>
      </c>
      <c r="Z55" s="23">
        <v>577.20000000000005</v>
      </c>
      <c r="AA55" s="60">
        <v>384.8</v>
      </c>
      <c r="AB55" s="23">
        <v>32</v>
      </c>
      <c r="AC55" s="58">
        <f t="shared" si="8"/>
        <v>19.240000000000002</v>
      </c>
      <c r="AD55" s="58">
        <f t="shared" si="9"/>
        <v>12.826666666666666</v>
      </c>
    </row>
    <row r="56" spans="21:30">
      <c r="U56">
        <f>18*30+33</f>
        <v>573</v>
      </c>
      <c r="V56">
        <v>19</v>
      </c>
      <c r="W56" s="550"/>
      <c r="X56" s="44" t="s">
        <v>111</v>
      </c>
      <c r="Y56" s="60">
        <v>963</v>
      </c>
      <c r="Z56" s="23">
        <v>577.79999999999995</v>
      </c>
      <c r="AA56" s="60">
        <v>385.2</v>
      </c>
      <c r="AB56" s="23">
        <v>32</v>
      </c>
      <c r="AC56" s="58">
        <f t="shared" si="8"/>
        <v>19.259999999999998</v>
      </c>
      <c r="AD56" s="58">
        <f t="shared" si="9"/>
        <v>12.84</v>
      </c>
    </row>
    <row r="57" spans="21:30">
      <c r="U57">
        <f>12*50+25*50</f>
        <v>1850</v>
      </c>
      <c r="V57">
        <v>37</v>
      </c>
      <c r="W57" s="550" t="s">
        <v>46</v>
      </c>
      <c r="X57" s="44" t="s">
        <v>98</v>
      </c>
      <c r="Y57" s="60">
        <v>3000</v>
      </c>
      <c r="Z57" s="23">
        <v>1800</v>
      </c>
      <c r="AA57" s="60">
        <v>1200</v>
      </c>
      <c r="AB57" s="23">
        <v>60</v>
      </c>
      <c r="AC57" s="58">
        <f>Z57/50</f>
        <v>36</v>
      </c>
      <c r="AD57" s="58">
        <f>AA57/50</f>
        <v>24</v>
      </c>
    </row>
    <row r="58" spans="21:30">
      <c r="U58">
        <f>25*50+66</f>
        <v>1316</v>
      </c>
      <c r="V58">
        <v>26</v>
      </c>
      <c r="W58" s="550"/>
      <c r="X58" s="44" t="s">
        <v>112</v>
      </c>
      <c r="Y58" s="60">
        <v>2216</v>
      </c>
      <c r="Z58" s="23">
        <v>1329.6</v>
      </c>
      <c r="AA58" s="60">
        <v>886.4</v>
      </c>
      <c r="AB58" s="23">
        <v>44</v>
      </c>
      <c r="AC58" s="58">
        <f t="shared" ref="AC58:AC60" si="10">Z58/50</f>
        <v>26.591999999999999</v>
      </c>
      <c r="AD58" s="58">
        <f t="shared" ref="AD58:AD60" si="11">AA58/50</f>
        <v>17.727999999999998</v>
      </c>
    </row>
    <row r="59" spans="21:30">
      <c r="U59">
        <f>3*50+32+4*50</f>
        <v>382</v>
      </c>
      <c r="V59">
        <v>8</v>
      </c>
      <c r="W59" s="550"/>
      <c r="X59" s="44" t="s">
        <v>96</v>
      </c>
      <c r="Y59" s="60">
        <v>832</v>
      </c>
      <c r="Z59" s="23">
        <v>499.2</v>
      </c>
      <c r="AA59" s="60">
        <v>332.8</v>
      </c>
      <c r="AB59" s="23">
        <v>17</v>
      </c>
      <c r="AC59" s="58">
        <f t="shared" si="10"/>
        <v>9.984</v>
      </c>
      <c r="AD59" s="58">
        <f t="shared" si="11"/>
        <v>6.6560000000000006</v>
      </c>
    </row>
    <row r="60" spans="21:30">
      <c r="U60">
        <f>13*50</f>
        <v>650</v>
      </c>
      <c r="V60">
        <v>13</v>
      </c>
      <c r="W60" s="550"/>
      <c r="X60" s="44" t="s">
        <v>101</v>
      </c>
      <c r="Y60" s="60">
        <v>1100</v>
      </c>
      <c r="Z60" s="23">
        <v>660</v>
      </c>
      <c r="AA60" s="60">
        <v>440</v>
      </c>
      <c r="AB60" s="23">
        <v>22</v>
      </c>
      <c r="AC60" s="58">
        <f t="shared" si="10"/>
        <v>13.2</v>
      </c>
      <c r="AD60" s="58">
        <f t="shared" si="11"/>
        <v>8.8000000000000007</v>
      </c>
    </row>
    <row r="61" spans="21:30">
      <c r="U61">
        <f>11*30+29+21</f>
        <v>380</v>
      </c>
      <c r="V61">
        <v>12</v>
      </c>
      <c r="W61" s="550" t="s">
        <v>113</v>
      </c>
      <c r="X61" s="44" t="s">
        <v>98</v>
      </c>
      <c r="Y61" s="60">
        <v>620</v>
      </c>
      <c r="Z61" s="23">
        <v>372</v>
      </c>
      <c r="AA61" s="60">
        <v>248</v>
      </c>
      <c r="AB61" s="23">
        <v>21</v>
      </c>
      <c r="AC61" s="58">
        <f>Z61/30</f>
        <v>12.4</v>
      </c>
      <c r="AD61" s="58">
        <f>AA61/30</f>
        <v>8.2666666666666675</v>
      </c>
    </row>
    <row r="62" spans="21:30">
      <c r="U62">
        <f>10*30+28+31</f>
        <v>359</v>
      </c>
      <c r="V62">
        <v>13</v>
      </c>
      <c r="W62" s="550"/>
      <c r="X62" s="44" t="s">
        <v>95</v>
      </c>
      <c r="Y62" s="60">
        <v>599</v>
      </c>
      <c r="Z62" s="23">
        <v>359.4</v>
      </c>
      <c r="AA62" s="60">
        <v>239.6</v>
      </c>
      <c r="AB62" s="23">
        <v>20</v>
      </c>
      <c r="AC62" s="58">
        <f t="shared" ref="AC62:AC78" si="12">Z62/30</f>
        <v>11.979999999999999</v>
      </c>
      <c r="AD62" s="58">
        <f t="shared" ref="AD62:AD78" si="13">AA62/30</f>
        <v>7.9866666666666664</v>
      </c>
    </row>
    <row r="63" spans="21:30">
      <c r="U63">
        <f>9*30</f>
        <v>270</v>
      </c>
      <c r="V63">
        <v>9</v>
      </c>
      <c r="W63" s="550"/>
      <c r="X63" s="44" t="s">
        <v>96</v>
      </c>
      <c r="Y63" s="60">
        <v>450</v>
      </c>
      <c r="Z63" s="23">
        <v>270</v>
      </c>
      <c r="AA63" s="60">
        <v>180</v>
      </c>
      <c r="AB63" s="23">
        <v>15</v>
      </c>
      <c r="AC63" s="58">
        <f t="shared" si="12"/>
        <v>9</v>
      </c>
      <c r="AD63" s="58">
        <f t="shared" si="13"/>
        <v>6</v>
      </c>
    </row>
    <row r="64" spans="21:30">
      <c r="U64">
        <f>8*30+29</f>
        <v>269</v>
      </c>
      <c r="V64">
        <v>9</v>
      </c>
      <c r="W64" s="550"/>
      <c r="X64" s="44" t="s">
        <v>102</v>
      </c>
      <c r="Y64" s="60">
        <v>449</v>
      </c>
      <c r="Z64" s="23">
        <v>269.39999999999998</v>
      </c>
      <c r="AA64" s="60">
        <v>179.6</v>
      </c>
      <c r="AB64" s="23">
        <v>15</v>
      </c>
      <c r="AC64" s="58">
        <f t="shared" si="12"/>
        <v>8.9799999999999986</v>
      </c>
      <c r="AD64" s="58">
        <f t="shared" si="13"/>
        <v>5.9866666666666664</v>
      </c>
    </row>
    <row r="65" spans="21:30">
      <c r="U65">
        <f>18*30+28+27+26</f>
        <v>621</v>
      </c>
      <c r="V65">
        <v>21</v>
      </c>
      <c r="W65" s="550">
        <v>134</v>
      </c>
      <c r="X65" s="44" t="s">
        <v>101</v>
      </c>
      <c r="Y65" s="60">
        <v>1011</v>
      </c>
      <c r="Z65" s="23">
        <v>606.6</v>
      </c>
      <c r="AA65" s="60">
        <v>404.4</v>
      </c>
      <c r="AB65" s="23">
        <v>34</v>
      </c>
      <c r="AC65" s="58">
        <f t="shared" si="12"/>
        <v>20.220000000000002</v>
      </c>
      <c r="AD65" s="58">
        <f t="shared" si="13"/>
        <v>13.479999999999999</v>
      </c>
    </row>
    <row r="66" spans="21:30">
      <c r="U66">
        <f>17*30+34</f>
        <v>544</v>
      </c>
      <c r="V66">
        <v>18</v>
      </c>
      <c r="W66" s="550"/>
      <c r="X66" s="44" t="s">
        <v>114</v>
      </c>
      <c r="Y66" s="60">
        <v>904</v>
      </c>
      <c r="Z66" s="23">
        <v>542.4</v>
      </c>
      <c r="AA66" s="60">
        <v>361.6</v>
      </c>
      <c r="AB66" s="23">
        <v>30</v>
      </c>
      <c r="AC66" s="58">
        <f t="shared" si="12"/>
        <v>18.079999999999998</v>
      </c>
      <c r="AD66" s="58">
        <f t="shared" si="13"/>
        <v>12.053333333333335</v>
      </c>
    </row>
    <row r="67" spans="21:30">
      <c r="U67">
        <f>21*30+31+44</f>
        <v>705</v>
      </c>
      <c r="V67">
        <v>23</v>
      </c>
      <c r="W67" s="550"/>
      <c r="X67" s="44" t="s">
        <v>112</v>
      </c>
      <c r="Y67" s="60">
        <v>1155</v>
      </c>
      <c r="Z67" s="23">
        <v>693</v>
      </c>
      <c r="AA67" s="60">
        <v>462</v>
      </c>
      <c r="AB67" s="23">
        <v>38</v>
      </c>
      <c r="AC67" s="58">
        <f t="shared" si="12"/>
        <v>23.1</v>
      </c>
      <c r="AD67" s="58">
        <f t="shared" si="13"/>
        <v>15.4</v>
      </c>
    </row>
    <row r="68" spans="21:30">
      <c r="U68">
        <f>16*30+31+28+41</f>
        <v>580</v>
      </c>
      <c r="V68">
        <v>19</v>
      </c>
      <c r="W68" s="550"/>
      <c r="X68" s="44" t="s">
        <v>100</v>
      </c>
      <c r="Y68" s="60">
        <v>940</v>
      </c>
      <c r="Z68" s="23">
        <v>564</v>
      </c>
      <c r="AA68" s="60">
        <v>376</v>
      </c>
      <c r="AB68" s="23">
        <v>31</v>
      </c>
      <c r="AC68" s="58">
        <f t="shared" si="12"/>
        <v>18.8</v>
      </c>
      <c r="AD68" s="58">
        <f t="shared" si="13"/>
        <v>12.533333333333333</v>
      </c>
    </row>
    <row r="69" spans="21:30">
      <c r="U69">
        <f>24*30+8</f>
        <v>728</v>
      </c>
      <c r="V69">
        <v>25</v>
      </c>
      <c r="W69" s="550" t="s">
        <v>115</v>
      </c>
      <c r="X69" s="44" t="s">
        <v>98</v>
      </c>
      <c r="Y69" s="60">
        <v>1238</v>
      </c>
      <c r="Z69" s="23">
        <v>742.8</v>
      </c>
      <c r="AA69" s="60">
        <v>495.2</v>
      </c>
      <c r="AB69" s="23">
        <v>42</v>
      </c>
      <c r="AC69" s="58">
        <f t="shared" si="12"/>
        <v>24.759999999999998</v>
      </c>
      <c r="AD69" s="58">
        <f t="shared" si="13"/>
        <v>16.506666666666668</v>
      </c>
    </row>
    <row r="70" spans="21:30">
      <c r="U70">
        <f>12*30+17</f>
        <v>377</v>
      </c>
      <c r="V70">
        <v>13</v>
      </c>
      <c r="W70" s="550"/>
      <c r="X70" s="44" t="s">
        <v>95</v>
      </c>
      <c r="Y70" s="60">
        <v>617</v>
      </c>
      <c r="Z70" s="23">
        <v>370.2</v>
      </c>
      <c r="AA70" s="60">
        <v>246.8</v>
      </c>
      <c r="AB70" s="23">
        <v>21</v>
      </c>
      <c r="AC70" s="58">
        <f t="shared" si="12"/>
        <v>12.34</v>
      </c>
      <c r="AD70" s="58">
        <f t="shared" si="13"/>
        <v>8.2266666666666666</v>
      </c>
    </row>
    <row r="71" spans="21:30">
      <c r="U71">
        <f>11*30+20</f>
        <v>350</v>
      </c>
      <c r="V71">
        <v>12</v>
      </c>
      <c r="W71" s="550"/>
      <c r="X71" s="44" t="s">
        <v>96</v>
      </c>
      <c r="Y71" s="60">
        <v>590</v>
      </c>
      <c r="Z71" s="23">
        <v>354</v>
      </c>
      <c r="AA71" s="60">
        <v>236</v>
      </c>
      <c r="AB71" s="23">
        <v>20</v>
      </c>
      <c r="AC71" s="58">
        <f t="shared" si="12"/>
        <v>11.8</v>
      </c>
      <c r="AD71" s="58">
        <f t="shared" si="13"/>
        <v>7.8666666666666663</v>
      </c>
    </row>
    <row r="72" spans="21:30">
      <c r="U72">
        <f>11*30</f>
        <v>330</v>
      </c>
      <c r="V72">
        <v>11</v>
      </c>
      <c r="W72" s="550"/>
      <c r="X72" s="44" t="s">
        <v>97</v>
      </c>
      <c r="Y72" s="60">
        <v>540</v>
      </c>
      <c r="Z72" s="23">
        <v>324</v>
      </c>
      <c r="AA72" s="60">
        <v>216</v>
      </c>
      <c r="AB72" s="23">
        <v>18</v>
      </c>
      <c r="AC72" s="58">
        <f t="shared" si="12"/>
        <v>10.8</v>
      </c>
      <c r="AD72" s="58">
        <f t="shared" si="13"/>
        <v>7.2</v>
      </c>
    </row>
    <row r="73" spans="21:30">
      <c r="U73">
        <f>25*30+19</f>
        <v>769</v>
      </c>
      <c r="V73">
        <v>26</v>
      </c>
      <c r="W73" s="550"/>
      <c r="X73" s="44" t="s">
        <v>116</v>
      </c>
      <c r="Y73" s="60">
        <v>1279</v>
      </c>
      <c r="Z73" s="23">
        <v>767.4</v>
      </c>
      <c r="AA73" s="60">
        <v>511.6</v>
      </c>
      <c r="AB73" s="23">
        <v>43</v>
      </c>
      <c r="AC73" s="58">
        <f t="shared" si="12"/>
        <v>25.58</v>
      </c>
      <c r="AD73" s="58">
        <f t="shared" si="13"/>
        <v>17.053333333333335</v>
      </c>
    </row>
    <row r="74" spans="21:30">
      <c r="U74">
        <f>5*30+29+28.5</f>
        <v>207.5</v>
      </c>
      <c r="V74">
        <v>7</v>
      </c>
      <c r="W74" s="550" t="s">
        <v>117</v>
      </c>
      <c r="X74" s="44" t="s">
        <v>118</v>
      </c>
      <c r="Y74" s="60">
        <v>357.5</v>
      </c>
      <c r="Z74" s="23">
        <v>214.5</v>
      </c>
      <c r="AA74" s="60">
        <v>143</v>
      </c>
      <c r="AB74" s="23">
        <v>12</v>
      </c>
      <c r="AC74" s="58">
        <f t="shared" si="12"/>
        <v>7.15</v>
      </c>
      <c r="AD74" s="58">
        <f t="shared" si="13"/>
        <v>4.7666666666666666</v>
      </c>
    </row>
    <row r="75" spans="21:30">
      <c r="U75">
        <f>3*30+29+29+28.5+25.5</f>
        <v>202</v>
      </c>
      <c r="V75">
        <v>7</v>
      </c>
      <c r="W75" s="550"/>
      <c r="X75" s="44" t="s">
        <v>119</v>
      </c>
      <c r="Y75" s="60">
        <v>352</v>
      </c>
      <c r="Z75" s="23">
        <v>211.2</v>
      </c>
      <c r="AA75" s="60">
        <v>140.80000000000001</v>
      </c>
      <c r="AB75" s="23">
        <v>12</v>
      </c>
      <c r="AC75" s="58">
        <f t="shared" si="12"/>
        <v>7.04</v>
      </c>
      <c r="AD75" s="58">
        <f t="shared" si="13"/>
        <v>4.6933333333333334</v>
      </c>
    </row>
    <row r="76" spans="21:30">
      <c r="U76">
        <f>8*30+29</f>
        <v>269</v>
      </c>
      <c r="V76">
        <v>9</v>
      </c>
      <c r="W76" s="550"/>
      <c r="X76" s="44" t="s">
        <v>120</v>
      </c>
      <c r="Y76" s="60">
        <v>449</v>
      </c>
      <c r="Z76" s="23">
        <v>269.39999999999998</v>
      </c>
      <c r="AA76" s="60">
        <v>179.6</v>
      </c>
      <c r="AB76" s="23">
        <v>15</v>
      </c>
      <c r="AC76" s="58">
        <f t="shared" si="12"/>
        <v>8.9799999999999986</v>
      </c>
      <c r="AD76" s="58">
        <f t="shared" si="13"/>
        <v>5.9866666666666664</v>
      </c>
    </row>
    <row r="77" spans="21:30">
      <c r="U77">
        <f>30*7</f>
        <v>210</v>
      </c>
      <c r="V77">
        <v>7</v>
      </c>
      <c r="W77" s="550"/>
      <c r="X77" s="44" t="s">
        <v>121</v>
      </c>
      <c r="Y77" s="60">
        <v>360</v>
      </c>
      <c r="Z77" s="23">
        <v>216</v>
      </c>
      <c r="AA77" s="60">
        <v>144</v>
      </c>
      <c r="AB77" s="23">
        <v>12</v>
      </c>
      <c r="AC77" s="58">
        <f t="shared" si="12"/>
        <v>7.2</v>
      </c>
      <c r="AD77" s="58">
        <f t="shared" si="13"/>
        <v>4.8</v>
      </c>
    </row>
    <row r="78" spans="21:30">
      <c r="U78">
        <f>5*30+29+28</f>
        <v>207</v>
      </c>
      <c r="V78">
        <v>7</v>
      </c>
      <c r="W78" s="550"/>
      <c r="X78" s="44" t="s">
        <v>122</v>
      </c>
      <c r="Y78" s="60">
        <v>357</v>
      </c>
      <c r="Z78" s="23">
        <v>214.2</v>
      </c>
      <c r="AA78" s="60">
        <v>142.80000000000001</v>
      </c>
      <c r="AB78" s="23">
        <v>12</v>
      </c>
      <c r="AC78" s="58">
        <f t="shared" si="12"/>
        <v>7.14</v>
      </c>
      <c r="AD78" s="58">
        <f t="shared" si="13"/>
        <v>4.7600000000000007</v>
      </c>
    </row>
    <row r="79" spans="21:30" ht="15.75">
      <c r="U79" s="56">
        <f>SUM(U46:U78)</f>
        <v>20107.5</v>
      </c>
      <c r="V79" s="56">
        <f>SUM(V46:V78)</f>
        <v>614</v>
      </c>
      <c r="W79" s="557" t="s">
        <v>4</v>
      </c>
      <c r="X79" s="557"/>
      <c r="Y79" s="2">
        <f t="shared" ref="Y79:AD79" si="14">SUM(Y46:Y78)</f>
        <v>33497.5</v>
      </c>
      <c r="Z79" s="2">
        <f t="shared" si="14"/>
        <v>20158.500000000004</v>
      </c>
      <c r="AA79" s="2">
        <f t="shared" si="14"/>
        <v>13339</v>
      </c>
      <c r="AB79" s="2">
        <f t="shared" si="14"/>
        <v>1021</v>
      </c>
      <c r="AC79" s="27">
        <f t="shared" si="14"/>
        <v>614.76599999999996</v>
      </c>
      <c r="AD79" s="57">
        <f t="shared" si="14"/>
        <v>406.51066666666674</v>
      </c>
    </row>
  </sheetData>
  <mergeCells count="111">
    <mergeCell ref="AH26:AH30"/>
    <mergeCell ref="AH31:AH35"/>
    <mergeCell ref="AH3:AH8"/>
    <mergeCell ref="AH9:AH13"/>
    <mergeCell ref="AH14:AH17"/>
    <mergeCell ref="AH18:AH21"/>
    <mergeCell ref="AH22:AH25"/>
    <mergeCell ref="AF26:AF30"/>
    <mergeCell ref="AF31:AF35"/>
    <mergeCell ref="AG3:AG8"/>
    <mergeCell ref="AG9:AG13"/>
    <mergeCell ref="AG14:AG17"/>
    <mergeCell ref="AG18:AG21"/>
    <mergeCell ref="AG22:AG25"/>
    <mergeCell ref="AG26:AG30"/>
    <mergeCell ref="AG31:AG35"/>
    <mergeCell ref="AF3:AF8"/>
    <mergeCell ref="AF9:AF13"/>
    <mergeCell ref="AF14:AF17"/>
    <mergeCell ref="AF18:AF21"/>
    <mergeCell ref="AF22:AF25"/>
    <mergeCell ref="AC31:AC35"/>
    <mergeCell ref="AD31:AD35"/>
    <mergeCell ref="AE3:AE8"/>
    <mergeCell ref="AE9:AE13"/>
    <mergeCell ref="AE14:AE17"/>
    <mergeCell ref="AE18:AE21"/>
    <mergeCell ref="AE22:AE25"/>
    <mergeCell ref="AE26:AE30"/>
    <mergeCell ref="AE31:AE35"/>
    <mergeCell ref="AC18:AC21"/>
    <mergeCell ref="AD18:AD21"/>
    <mergeCell ref="AC22:AC25"/>
    <mergeCell ref="AD22:AD25"/>
    <mergeCell ref="AC26:AC30"/>
    <mergeCell ref="AD26:AD30"/>
    <mergeCell ref="AC3:AC8"/>
    <mergeCell ref="AD3:AD8"/>
    <mergeCell ref="AC9:AC13"/>
    <mergeCell ref="AD9:AD13"/>
    <mergeCell ref="AC14:AC17"/>
    <mergeCell ref="AD14:AD17"/>
    <mergeCell ref="J18:J21"/>
    <mergeCell ref="K18:K21"/>
    <mergeCell ref="H31:H35"/>
    <mergeCell ref="I31:I35"/>
    <mergeCell ref="J31:J35"/>
    <mergeCell ref="K31:K35"/>
    <mergeCell ref="L31:L35"/>
    <mergeCell ref="L18:L21"/>
    <mergeCell ref="L3:L8"/>
    <mergeCell ref="L9:L13"/>
    <mergeCell ref="L14:L17"/>
    <mergeCell ref="H9:H13"/>
    <mergeCell ref="I9:I13"/>
    <mergeCell ref="J9:J13"/>
    <mergeCell ref="K9:K13"/>
    <mergeCell ref="W74:W78"/>
    <mergeCell ref="W79:X79"/>
    <mergeCell ref="W45:X45"/>
    <mergeCell ref="W52:W56"/>
    <mergeCell ref="W57:W60"/>
    <mergeCell ref="W61:W64"/>
    <mergeCell ref="W65:W68"/>
    <mergeCell ref="W69:W73"/>
    <mergeCell ref="G22:G25"/>
    <mergeCell ref="H22:H25"/>
    <mergeCell ref="I22:I25"/>
    <mergeCell ref="J22:J25"/>
    <mergeCell ref="K22:K25"/>
    <mergeCell ref="L22:L25"/>
    <mergeCell ref="A22:A25"/>
    <mergeCell ref="A26:A30"/>
    <mergeCell ref="A31:A35"/>
    <mergeCell ref="A36:B36"/>
    <mergeCell ref="W46:W51"/>
    <mergeCell ref="W22:W25"/>
    <mergeCell ref="W26:W30"/>
    <mergeCell ref="W31:W35"/>
    <mergeCell ref="W36:X36"/>
    <mergeCell ref="G26:G30"/>
    <mergeCell ref="H26:H30"/>
    <mergeCell ref="I26:I30"/>
    <mergeCell ref="J26:J30"/>
    <mergeCell ref="K26:K30"/>
    <mergeCell ref="L26:L30"/>
    <mergeCell ref="G31:G35"/>
    <mergeCell ref="A1:N1"/>
    <mergeCell ref="W3:W8"/>
    <mergeCell ref="W9:W13"/>
    <mergeCell ref="W14:W17"/>
    <mergeCell ref="W18:W21"/>
    <mergeCell ref="A3:A8"/>
    <mergeCell ref="A9:A13"/>
    <mergeCell ref="A14:A17"/>
    <mergeCell ref="A18:A21"/>
    <mergeCell ref="W1:AK1"/>
    <mergeCell ref="G3:G8"/>
    <mergeCell ref="H3:H8"/>
    <mergeCell ref="I3:I8"/>
    <mergeCell ref="J3:J8"/>
    <mergeCell ref="K3:K8"/>
    <mergeCell ref="G9:G13"/>
    <mergeCell ref="G14:G17"/>
    <mergeCell ref="H14:H17"/>
    <mergeCell ref="I14:I17"/>
    <mergeCell ref="J14:J17"/>
    <mergeCell ref="K14:K17"/>
    <mergeCell ref="G18:G21"/>
    <mergeCell ref="H18:H21"/>
    <mergeCell ref="I18:I21"/>
  </mergeCells>
  <pageMargins left="0.52" right="0.14000000000000001" top="0.25" bottom="0.26" header="0.15" footer="0.14000000000000001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7"/>
  <sheetViews>
    <sheetView topLeftCell="Q5" workbookViewId="0">
      <selection activeCell="U29" sqref="U29"/>
    </sheetView>
  </sheetViews>
  <sheetFormatPr defaultRowHeight="15"/>
  <cols>
    <col min="1" max="1" width="19.85546875" bestFit="1" customWidth="1"/>
    <col min="2" max="2" width="10.85546875" customWidth="1"/>
    <col min="21" max="21" width="19.85546875" bestFit="1" customWidth="1"/>
  </cols>
  <sheetData>
    <row r="1" spans="1:35" ht="33.75">
      <c r="A1" s="562" t="s">
        <v>142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U1" s="563" t="s">
        <v>141</v>
      </c>
      <c r="V1" s="563"/>
      <c r="W1" s="563"/>
      <c r="X1" s="563"/>
      <c r="Y1" s="563"/>
      <c r="Z1" s="563"/>
      <c r="AA1" s="563"/>
      <c r="AB1" s="563"/>
      <c r="AC1" s="563"/>
      <c r="AD1" s="563"/>
      <c r="AE1" s="563"/>
      <c r="AF1" s="563"/>
      <c r="AG1" s="563"/>
      <c r="AH1" s="563"/>
      <c r="AI1" s="563"/>
    </row>
    <row r="2" spans="1:35" ht="32.25">
      <c r="A2" s="79" t="s">
        <v>0</v>
      </c>
      <c r="B2" s="79" t="s">
        <v>140</v>
      </c>
      <c r="C2" s="47" t="s">
        <v>123</v>
      </c>
      <c r="D2" s="47" t="s">
        <v>2</v>
      </c>
      <c r="E2" s="47" t="s">
        <v>3</v>
      </c>
      <c r="F2" s="48" t="s">
        <v>4</v>
      </c>
      <c r="G2" s="6" t="s">
        <v>5</v>
      </c>
      <c r="H2" s="6" t="s">
        <v>6</v>
      </c>
      <c r="I2" s="6" t="s">
        <v>7</v>
      </c>
      <c r="J2" s="47" t="s">
        <v>8</v>
      </c>
      <c r="K2" s="18" t="s">
        <v>9</v>
      </c>
      <c r="L2" s="6" t="s">
        <v>10</v>
      </c>
      <c r="M2" s="53" t="s">
        <v>125</v>
      </c>
      <c r="N2" s="2" t="s">
        <v>124</v>
      </c>
      <c r="O2" s="2" t="s">
        <v>126</v>
      </c>
      <c r="P2">
        <f t="shared" ref="P2:P25" si="0">H3*30%</f>
        <v>644.4</v>
      </c>
      <c r="Q2" s="39">
        <f>P2/30</f>
        <v>21.48</v>
      </c>
      <c r="S2" s="62">
        <f t="shared" ref="S2:S25" si="1">H3-C3</f>
        <v>1998</v>
      </c>
      <c r="U2" s="61" t="s">
        <v>0</v>
      </c>
      <c r="V2" s="61" t="s">
        <v>140</v>
      </c>
      <c r="W2" s="47" t="s">
        <v>123</v>
      </c>
      <c r="X2" s="47" t="s">
        <v>2</v>
      </c>
      <c r="Y2" s="47" t="s">
        <v>3</v>
      </c>
      <c r="Z2" s="48" t="s">
        <v>4</v>
      </c>
      <c r="AA2" s="6" t="s">
        <v>5</v>
      </c>
      <c r="AB2" s="6" t="s">
        <v>6</v>
      </c>
      <c r="AC2" s="6" t="s">
        <v>7</v>
      </c>
      <c r="AD2" s="47" t="s">
        <v>8</v>
      </c>
      <c r="AE2" s="18" t="s">
        <v>9</v>
      </c>
      <c r="AF2" s="6" t="s">
        <v>10</v>
      </c>
      <c r="AG2" s="53" t="s">
        <v>125</v>
      </c>
      <c r="AH2" s="2" t="s">
        <v>124</v>
      </c>
      <c r="AI2" s="2" t="s">
        <v>126</v>
      </c>
    </row>
    <row r="3" spans="1:35">
      <c r="A3" s="564" t="s">
        <v>134</v>
      </c>
      <c r="B3" s="64" t="s">
        <v>102</v>
      </c>
      <c r="C3" s="62">
        <v>150</v>
      </c>
      <c r="D3" s="63">
        <v>1.73</v>
      </c>
      <c r="E3" s="1">
        <v>184</v>
      </c>
      <c r="F3" s="50">
        <f>C3*D3*E3</f>
        <v>47748</v>
      </c>
      <c r="G3" s="552">
        <v>1150</v>
      </c>
      <c r="H3" s="564">
        <v>2148</v>
      </c>
      <c r="I3" s="527">
        <v>482</v>
      </c>
      <c r="J3" s="525">
        <f>G3/H3*SUM(C3:C5)*I3</f>
        <v>162574.02234636873</v>
      </c>
      <c r="K3" s="542">
        <f>J3+SUM(F3:F5)</f>
        <v>358699.62234636873</v>
      </c>
      <c r="L3" s="525">
        <f>K3/SUM(C3:C5)</f>
        <v>569.36447991487103</v>
      </c>
      <c r="M3" s="1">
        <v>17</v>
      </c>
      <c r="N3" s="1">
        <v>5</v>
      </c>
      <c r="O3" s="1">
        <f>M3-N3</f>
        <v>12</v>
      </c>
      <c r="P3">
        <f t="shared" si="0"/>
        <v>0</v>
      </c>
      <c r="Q3" s="39">
        <f t="shared" ref="Q3:Q25" si="2">P3/30</f>
        <v>0</v>
      </c>
      <c r="S3" s="62">
        <f t="shared" si="1"/>
        <v>-240</v>
      </c>
      <c r="U3" s="564" t="s">
        <v>134</v>
      </c>
      <c r="V3" s="64" t="s">
        <v>102</v>
      </c>
      <c r="W3" s="62">
        <v>368</v>
      </c>
      <c r="X3" s="63">
        <v>1.73</v>
      </c>
      <c r="Y3" s="1">
        <v>184</v>
      </c>
      <c r="Z3" s="50">
        <f>W3*X3*Y3</f>
        <v>117141.75999999999</v>
      </c>
      <c r="AA3" s="552">
        <v>1150</v>
      </c>
      <c r="AB3" s="564">
        <v>2148</v>
      </c>
      <c r="AC3" s="527">
        <v>482</v>
      </c>
      <c r="AD3" s="525">
        <f>AA3/AB3*SUM(W3:W5)*AC3</f>
        <v>391725.9776536313</v>
      </c>
      <c r="AE3" s="542">
        <f>AD3+SUM(Z3:Z5)</f>
        <v>864355.73765363125</v>
      </c>
      <c r="AF3" s="525">
        <f>AE3/SUM(W3:W5)</f>
        <v>569.40430675469781</v>
      </c>
      <c r="AG3" s="1">
        <v>17</v>
      </c>
      <c r="AH3" s="1">
        <v>5</v>
      </c>
      <c r="AI3" s="1">
        <f>AG3-AH3</f>
        <v>12</v>
      </c>
    </row>
    <row r="4" spans="1:35">
      <c r="A4" s="567"/>
      <c r="B4" s="64" t="s">
        <v>95</v>
      </c>
      <c r="C4" s="62">
        <v>240</v>
      </c>
      <c r="D4" s="63">
        <v>1.73</v>
      </c>
      <c r="E4" s="1">
        <v>184</v>
      </c>
      <c r="F4" s="50">
        <f t="shared" ref="F4:F26" si="3">C4*D4*E4</f>
        <v>76396.800000000003</v>
      </c>
      <c r="G4" s="567"/>
      <c r="H4" s="567"/>
      <c r="I4" s="567"/>
      <c r="J4" s="567"/>
      <c r="K4" s="567"/>
      <c r="L4" s="534"/>
      <c r="M4" s="1">
        <v>27</v>
      </c>
      <c r="N4" s="1">
        <v>8</v>
      </c>
      <c r="O4" s="1">
        <f t="shared" ref="O4:O26" si="4">M4-N4</f>
        <v>19</v>
      </c>
      <c r="P4">
        <f t="shared" si="0"/>
        <v>0</v>
      </c>
      <c r="Q4" s="39">
        <f t="shared" si="2"/>
        <v>0</v>
      </c>
      <c r="S4" s="62">
        <f t="shared" si="1"/>
        <v>-240</v>
      </c>
      <c r="U4" s="565"/>
      <c r="V4" s="64" t="s">
        <v>95</v>
      </c>
      <c r="W4" s="62">
        <v>575</v>
      </c>
      <c r="X4" s="63">
        <v>1.73</v>
      </c>
      <c r="Y4" s="1">
        <v>184</v>
      </c>
      <c r="Z4" s="50">
        <f t="shared" ref="Z4:Z10" si="5">W4*X4*Y4</f>
        <v>183034</v>
      </c>
      <c r="AA4" s="567"/>
      <c r="AB4" s="567"/>
      <c r="AC4" s="567"/>
      <c r="AD4" s="567"/>
      <c r="AE4" s="567"/>
      <c r="AF4" s="534"/>
      <c r="AG4" s="1">
        <v>27</v>
      </c>
      <c r="AH4" s="1">
        <v>8</v>
      </c>
      <c r="AI4" s="1">
        <f t="shared" ref="AI4:AI26" si="6">AG4-AH4</f>
        <v>19</v>
      </c>
    </row>
    <row r="5" spans="1:35">
      <c r="A5" s="568"/>
      <c r="B5" s="64" t="s">
        <v>96</v>
      </c>
      <c r="C5" s="62">
        <v>240</v>
      </c>
      <c r="D5" s="63">
        <v>1.63</v>
      </c>
      <c r="E5" s="1">
        <v>184</v>
      </c>
      <c r="F5" s="50">
        <f t="shared" si="3"/>
        <v>71980.800000000003</v>
      </c>
      <c r="G5" s="568"/>
      <c r="H5" s="568"/>
      <c r="I5" s="568"/>
      <c r="J5" s="568"/>
      <c r="K5" s="568"/>
      <c r="L5" s="528"/>
      <c r="M5" s="1">
        <v>27</v>
      </c>
      <c r="N5" s="1">
        <v>8</v>
      </c>
      <c r="O5" s="1">
        <f t="shared" si="4"/>
        <v>19</v>
      </c>
      <c r="P5">
        <f t="shared" si="0"/>
        <v>1440.3</v>
      </c>
      <c r="Q5" s="39">
        <f t="shared" si="2"/>
        <v>48.01</v>
      </c>
      <c r="S5" s="62">
        <f t="shared" si="1"/>
        <v>4441</v>
      </c>
      <c r="U5" s="566"/>
      <c r="V5" s="64" t="s">
        <v>96</v>
      </c>
      <c r="W5" s="62">
        <v>575</v>
      </c>
      <c r="X5" s="63">
        <v>1.63</v>
      </c>
      <c r="Y5" s="1">
        <v>184</v>
      </c>
      <c r="Z5" s="50">
        <f t="shared" si="5"/>
        <v>172453.99999999997</v>
      </c>
      <c r="AA5" s="568"/>
      <c r="AB5" s="568"/>
      <c r="AC5" s="568"/>
      <c r="AD5" s="568"/>
      <c r="AE5" s="568"/>
      <c r="AF5" s="528"/>
      <c r="AG5" s="1">
        <v>27</v>
      </c>
      <c r="AH5" s="1">
        <v>8</v>
      </c>
      <c r="AI5" s="1">
        <f t="shared" si="6"/>
        <v>19</v>
      </c>
    </row>
    <row r="6" spans="1:35">
      <c r="A6" s="564" t="s">
        <v>91</v>
      </c>
      <c r="B6" s="64" t="s">
        <v>94</v>
      </c>
      <c r="C6" s="62">
        <v>360</v>
      </c>
      <c r="D6" s="63">
        <v>0.95</v>
      </c>
      <c r="E6" s="1">
        <v>184</v>
      </c>
      <c r="F6" s="50">
        <f t="shared" si="3"/>
        <v>62928</v>
      </c>
      <c r="G6" s="552">
        <v>1700</v>
      </c>
      <c r="H6" s="564">
        <v>4801</v>
      </c>
      <c r="I6" s="527">
        <v>482</v>
      </c>
      <c r="J6" s="525">
        <f>G6/H6*SUM(C6:C10)*I6</f>
        <v>245768.79816704852</v>
      </c>
      <c r="K6" s="542">
        <f>J6+SUM(F6:F10)</f>
        <v>497480.79816704849</v>
      </c>
      <c r="L6" s="525">
        <f>K6/SUM(C6:C10)</f>
        <v>345.4727765048948</v>
      </c>
      <c r="M6" s="1">
        <v>41</v>
      </c>
      <c r="N6" s="1">
        <v>12</v>
      </c>
      <c r="O6" s="1">
        <f t="shared" si="4"/>
        <v>29</v>
      </c>
      <c r="P6">
        <f t="shared" si="0"/>
        <v>0</v>
      </c>
      <c r="Q6" s="39">
        <f t="shared" si="2"/>
        <v>0</v>
      </c>
      <c r="S6" s="62">
        <f t="shared" si="1"/>
        <v>-600</v>
      </c>
      <c r="U6" s="564" t="s">
        <v>91</v>
      </c>
      <c r="V6" s="64" t="s">
        <v>94</v>
      </c>
      <c r="W6" s="62">
        <v>877</v>
      </c>
      <c r="X6" s="63">
        <v>0.95</v>
      </c>
      <c r="Y6" s="1">
        <v>184</v>
      </c>
      <c r="Z6" s="50">
        <f t="shared" si="5"/>
        <v>153299.6</v>
      </c>
      <c r="AA6" s="552">
        <v>1700</v>
      </c>
      <c r="AB6" s="564">
        <v>4801</v>
      </c>
      <c r="AC6" s="527">
        <v>482</v>
      </c>
      <c r="AD6" s="525">
        <f>AA6/AB6*SUM(W6:W10)*AC6</f>
        <v>573631.2018329514</v>
      </c>
      <c r="AE6" s="542">
        <f>AD6+SUM(Z6:Z10)</f>
        <v>1161134.0018329513</v>
      </c>
      <c r="AF6" s="525">
        <f>AE6/SUM(W6:W10)</f>
        <v>345.4727765048948</v>
      </c>
      <c r="AG6" s="1">
        <v>41</v>
      </c>
      <c r="AH6" s="1">
        <v>12</v>
      </c>
      <c r="AI6" s="1">
        <f t="shared" si="6"/>
        <v>29</v>
      </c>
    </row>
    <row r="7" spans="1:35">
      <c r="A7" s="567"/>
      <c r="B7" s="64" t="s">
        <v>95</v>
      </c>
      <c r="C7" s="62">
        <v>600</v>
      </c>
      <c r="D7" s="63">
        <v>0.95</v>
      </c>
      <c r="E7" s="1">
        <v>184</v>
      </c>
      <c r="F7" s="50">
        <f t="shared" si="3"/>
        <v>104880</v>
      </c>
      <c r="G7" s="567"/>
      <c r="H7" s="567"/>
      <c r="I7" s="567"/>
      <c r="J7" s="567"/>
      <c r="K7" s="567"/>
      <c r="L7" s="534"/>
      <c r="M7" s="1">
        <v>66</v>
      </c>
      <c r="N7" s="1">
        <v>20</v>
      </c>
      <c r="O7" s="1">
        <f t="shared" si="4"/>
        <v>46</v>
      </c>
      <c r="P7">
        <f t="shared" si="0"/>
        <v>0</v>
      </c>
      <c r="Q7" s="39">
        <f t="shared" si="2"/>
        <v>0</v>
      </c>
      <c r="S7" s="62">
        <f t="shared" si="1"/>
        <v>-150</v>
      </c>
      <c r="U7" s="565"/>
      <c r="V7" s="64" t="s">
        <v>95</v>
      </c>
      <c r="W7" s="62">
        <v>1405.5</v>
      </c>
      <c r="X7" s="63">
        <v>0.95</v>
      </c>
      <c r="Y7" s="1">
        <v>184</v>
      </c>
      <c r="Z7" s="50">
        <f t="shared" si="5"/>
        <v>245681.4</v>
      </c>
      <c r="AA7" s="567"/>
      <c r="AB7" s="567"/>
      <c r="AC7" s="567"/>
      <c r="AD7" s="567"/>
      <c r="AE7" s="567"/>
      <c r="AF7" s="534"/>
      <c r="AG7" s="1">
        <v>66</v>
      </c>
      <c r="AH7" s="1">
        <v>20</v>
      </c>
      <c r="AI7" s="1">
        <f t="shared" si="6"/>
        <v>46</v>
      </c>
    </row>
    <row r="8" spans="1:35">
      <c r="A8" s="567"/>
      <c r="B8" s="64" t="s">
        <v>96</v>
      </c>
      <c r="C8" s="62">
        <v>150</v>
      </c>
      <c r="D8" s="63">
        <v>0.95</v>
      </c>
      <c r="E8" s="1">
        <v>184</v>
      </c>
      <c r="F8" s="50">
        <f t="shared" si="3"/>
        <v>26220</v>
      </c>
      <c r="G8" s="567"/>
      <c r="H8" s="567"/>
      <c r="I8" s="567"/>
      <c r="J8" s="567"/>
      <c r="K8" s="567"/>
      <c r="L8" s="534"/>
      <c r="M8" s="1">
        <v>17</v>
      </c>
      <c r="N8" s="1">
        <v>5</v>
      </c>
      <c r="O8" s="1">
        <f t="shared" si="4"/>
        <v>12</v>
      </c>
      <c r="P8">
        <f t="shared" si="0"/>
        <v>0</v>
      </c>
      <c r="Q8" s="39">
        <f t="shared" si="2"/>
        <v>0</v>
      </c>
      <c r="S8" s="62">
        <f t="shared" si="1"/>
        <v>-180</v>
      </c>
      <c r="U8" s="565"/>
      <c r="V8" s="64" t="s">
        <v>96</v>
      </c>
      <c r="W8" s="62">
        <v>355.5</v>
      </c>
      <c r="X8" s="63">
        <v>0.95</v>
      </c>
      <c r="Y8" s="1">
        <v>184</v>
      </c>
      <c r="Z8" s="50">
        <f t="shared" si="5"/>
        <v>62141.399999999994</v>
      </c>
      <c r="AA8" s="567"/>
      <c r="AB8" s="567"/>
      <c r="AC8" s="567"/>
      <c r="AD8" s="567"/>
      <c r="AE8" s="567"/>
      <c r="AF8" s="534"/>
      <c r="AG8" s="1">
        <v>17</v>
      </c>
      <c r="AH8" s="1">
        <v>5</v>
      </c>
      <c r="AI8" s="1">
        <f t="shared" si="6"/>
        <v>12</v>
      </c>
    </row>
    <row r="9" spans="1:35">
      <c r="A9" s="567"/>
      <c r="B9" s="64" t="s">
        <v>139</v>
      </c>
      <c r="C9" s="62">
        <v>180</v>
      </c>
      <c r="D9" s="63">
        <v>0.95</v>
      </c>
      <c r="E9" s="1">
        <v>184</v>
      </c>
      <c r="F9" s="50">
        <f t="shared" si="3"/>
        <v>31464</v>
      </c>
      <c r="G9" s="567"/>
      <c r="H9" s="567"/>
      <c r="I9" s="567"/>
      <c r="J9" s="567"/>
      <c r="K9" s="567"/>
      <c r="L9" s="534"/>
      <c r="M9" s="1">
        <v>19</v>
      </c>
      <c r="N9" s="1">
        <v>6</v>
      </c>
      <c r="O9" s="1">
        <f t="shared" si="4"/>
        <v>13</v>
      </c>
      <c r="P9">
        <f t="shared" si="0"/>
        <v>0</v>
      </c>
      <c r="Q9" s="39">
        <f t="shared" si="2"/>
        <v>0</v>
      </c>
      <c r="S9" s="62">
        <f t="shared" si="1"/>
        <v>-150</v>
      </c>
      <c r="U9" s="565"/>
      <c r="V9" s="64" t="s">
        <v>139</v>
      </c>
      <c r="W9" s="62">
        <v>386.5</v>
      </c>
      <c r="X9" s="63">
        <v>0.95</v>
      </c>
      <c r="Y9" s="1">
        <v>184</v>
      </c>
      <c r="Z9" s="50">
        <f t="shared" si="5"/>
        <v>67560.2</v>
      </c>
      <c r="AA9" s="567"/>
      <c r="AB9" s="567"/>
      <c r="AC9" s="567"/>
      <c r="AD9" s="567"/>
      <c r="AE9" s="567"/>
      <c r="AF9" s="534"/>
      <c r="AG9" s="1">
        <v>19</v>
      </c>
      <c r="AH9" s="1">
        <v>6</v>
      </c>
      <c r="AI9" s="1">
        <f t="shared" si="6"/>
        <v>13</v>
      </c>
    </row>
    <row r="10" spans="1:35">
      <c r="A10" s="568"/>
      <c r="B10" s="64" t="s">
        <v>102</v>
      </c>
      <c r="C10" s="62">
        <v>150</v>
      </c>
      <c r="D10" s="63">
        <v>0.95</v>
      </c>
      <c r="E10" s="1">
        <v>184</v>
      </c>
      <c r="F10" s="50">
        <f t="shared" si="3"/>
        <v>26220</v>
      </c>
      <c r="G10" s="568"/>
      <c r="H10" s="568"/>
      <c r="I10" s="568"/>
      <c r="J10" s="568"/>
      <c r="K10" s="568"/>
      <c r="L10" s="528"/>
      <c r="M10" s="1">
        <v>16</v>
      </c>
      <c r="N10" s="1">
        <v>5</v>
      </c>
      <c r="O10" s="1">
        <f t="shared" si="4"/>
        <v>11</v>
      </c>
      <c r="P10">
        <f t="shared" si="0"/>
        <v>630</v>
      </c>
      <c r="Q10" s="39">
        <f t="shared" si="2"/>
        <v>21</v>
      </c>
      <c r="S10" s="62">
        <f t="shared" si="1"/>
        <v>1770</v>
      </c>
      <c r="U10" s="566"/>
      <c r="V10" s="64" t="s">
        <v>102</v>
      </c>
      <c r="W10" s="62">
        <v>336.5</v>
      </c>
      <c r="X10" s="63">
        <v>0.95</v>
      </c>
      <c r="Y10" s="1">
        <v>184</v>
      </c>
      <c r="Z10" s="50">
        <f t="shared" si="5"/>
        <v>58820.200000000004</v>
      </c>
      <c r="AA10" s="568"/>
      <c r="AB10" s="568"/>
      <c r="AC10" s="568"/>
      <c r="AD10" s="568"/>
      <c r="AE10" s="568"/>
      <c r="AF10" s="528"/>
      <c r="AG10" s="1">
        <v>16</v>
      </c>
      <c r="AH10" s="1">
        <v>5</v>
      </c>
      <c r="AI10" s="1">
        <f t="shared" si="6"/>
        <v>11</v>
      </c>
    </row>
    <row r="11" spans="1:35">
      <c r="A11" s="564" t="s">
        <v>105</v>
      </c>
      <c r="B11" s="64" t="s">
        <v>94</v>
      </c>
      <c r="C11" s="62">
        <v>330</v>
      </c>
      <c r="D11" s="63">
        <v>1.32</v>
      </c>
      <c r="E11" s="1">
        <v>184</v>
      </c>
      <c r="F11" s="50">
        <f>C11*D11*E11</f>
        <v>80150.400000000009</v>
      </c>
      <c r="G11" s="552">
        <v>800</v>
      </c>
      <c r="H11" s="564">
        <v>2100</v>
      </c>
      <c r="I11" s="527">
        <v>482</v>
      </c>
      <c r="J11" s="525">
        <f>G11/H11*SUM(C11:C13)*I11</f>
        <v>115680</v>
      </c>
      <c r="K11" s="542">
        <f>J11+SUM(F11:F13)</f>
        <v>271454.40000000002</v>
      </c>
      <c r="L11" s="525">
        <f>K11/SUM(C11:C13)</f>
        <v>430.88000000000005</v>
      </c>
      <c r="M11" s="1">
        <v>35</v>
      </c>
      <c r="N11" s="1">
        <v>11</v>
      </c>
      <c r="O11" s="1">
        <f t="shared" si="4"/>
        <v>24</v>
      </c>
      <c r="P11">
        <f t="shared" si="0"/>
        <v>0</v>
      </c>
      <c r="Q11" s="39">
        <f t="shared" si="2"/>
        <v>0</v>
      </c>
      <c r="S11" s="62">
        <f t="shared" si="1"/>
        <v>-150</v>
      </c>
      <c r="U11" s="564" t="s">
        <v>105</v>
      </c>
      <c r="V11" s="64" t="s">
        <v>94</v>
      </c>
      <c r="W11" s="62">
        <v>720</v>
      </c>
      <c r="X11" s="63">
        <v>1.32</v>
      </c>
      <c r="Y11" s="1">
        <v>184</v>
      </c>
      <c r="Z11" s="50">
        <f>W11*X11*Y11</f>
        <v>174873.60000000001</v>
      </c>
      <c r="AA11" s="552">
        <v>800</v>
      </c>
      <c r="AB11" s="564">
        <v>2100</v>
      </c>
      <c r="AC11" s="527">
        <v>482</v>
      </c>
      <c r="AD11" s="525">
        <f>AA11/AB11*SUM(W11:W13)*AC11</f>
        <v>269920</v>
      </c>
      <c r="AE11" s="542">
        <f>AD11+SUM(Z11:Z13)</f>
        <v>633890.39999999991</v>
      </c>
      <c r="AF11" s="525">
        <f>AE11/SUM(W11:W13)</f>
        <v>431.21795918367343</v>
      </c>
      <c r="AG11" s="1">
        <v>35</v>
      </c>
      <c r="AH11" s="1">
        <v>11</v>
      </c>
      <c r="AI11" s="1">
        <f t="shared" si="6"/>
        <v>24</v>
      </c>
    </row>
    <row r="12" spans="1:35">
      <c r="A12" s="567"/>
      <c r="B12" s="64" t="s">
        <v>99</v>
      </c>
      <c r="C12" s="62">
        <v>150</v>
      </c>
      <c r="D12" s="63">
        <v>1.42</v>
      </c>
      <c r="E12" s="1">
        <v>184</v>
      </c>
      <c r="F12" s="50">
        <f t="shared" si="3"/>
        <v>39192</v>
      </c>
      <c r="G12" s="567"/>
      <c r="H12" s="567"/>
      <c r="I12" s="567"/>
      <c r="J12" s="567"/>
      <c r="K12" s="567"/>
      <c r="L12" s="534"/>
      <c r="M12" s="1">
        <v>18</v>
      </c>
      <c r="N12" s="1">
        <v>5</v>
      </c>
      <c r="O12" s="1">
        <f t="shared" si="4"/>
        <v>13</v>
      </c>
      <c r="P12">
        <f t="shared" si="0"/>
        <v>0</v>
      </c>
      <c r="Q12" s="39">
        <f t="shared" si="2"/>
        <v>0</v>
      </c>
      <c r="S12" s="62">
        <f t="shared" si="1"/>
        <v>-150</v>
      </c>
      <c r="U12" s="565"/>
      <c r="V12" s="64" t="s">
        <v>99</v>
      </c>
      <c r="W12" s="62">
        <v>377</v>
      </c>
      <c r="X12" s="63">
        <v>1.42</v>
      </c>
      <c r="Y12" s="1">
        <v>184</v>
      </c>
      <c r="Z12" s="50">
        <f t="shared" ref="Z12:Z26" si="7">W12*X12*Y12</f>
        <v>98502.559999999983</v>
      </c>
      <c r="AA12" s="567"/>
      <c r="AB12" s="567"/>
      <c r="AC12" s="567"/>
      <c r="AD12" s="567"/>
      <c r="AE12" s="567"/>
      <c r="AF12" s="534"/>
      <c r="AG12" s="1">
        <v>18</v>
      </c>
      <c r="AH12" s="1">
        <v>5</v>
      </c>
      <c r="AI12" s="1">
        <f t="shared" si="6"/>
        <v>13</v>
      </c>
    </row>
    <row r="13" spans="1:35">
      <c r="A13" s="568"/>
      <c r="B13" s="64" t="s">
        <v>96</v>
      </c>
      <c r="C13" s="62">
        <v>150</v>
      </c>
      <c r="D13" s="63">
        <v>1.32</v>
      </c>
      <c r="E13" s="1">
        <v>184</v>
      </c>
      <c r="F13" s="50">
        <f t="shared" si="3"/>
        <v>36432</v>
      </c>
      <c r="G13" s="568"/>
      <c r="H13" s="568"/>
      <c r="I13" s="568"/>
      <c r="J13" s="568"/>
      <c r="K13" s="568"/>
      <c r="L13" s="528"/>
      <c r="M13" s="1">
        <v>18</v>
      </c>
      <c r="N13" s="1">
        <v>5</v>
      </c>
      <c r="O13" s="1">
        <f t="shared" si="4"/>
        <v>13</v>
      </c>
      <c r="P13">
        <f t="shared" si="0"/>
        <v>300</v>
      </c>
      <c r="Q13" s="39">
        <f t="shared" si="2"/>
        <v>10</v>
      </c>
      <c r="S13" s="62">
        <f t="shared" si="1"/>
        <v>700</v>
      </c>
      <c r="U13" s="566"/>
      <c r="V13" s="64" t="s">
        <v>96</v>
      </c>
      <c r="W13" s="62">
        <v>373</v>
      </c>
      <c r="X13" s="63">
        <v>1.32</v>
      </c>
      <c r="Y13" s="1">
        <v>184</v>
      </c>
      <c r="Z13" s="50">
        <f t="shared" si="7"/>
        <v>90594.240000000005</v>
      </c>
      <c r="AA13" s="568"/>
      <c r="AB13" s="568"/>
      <c r="AC13" s="568"/>
      <c r="AD13" s="568"/>
      <c r="AE13" s="568"/>
      <c r="AF13" s="528"/>
      <c r="AG13" s="1">
        <v>18</v>
      </c>
      <c r="AH13" s="1">
        <v>5</v>
      </c>
      <c r="AI13" s="1">
        <f t="shared" si="6"/>
        <v>13</v>
      </c>
    </row>
    <row r="14" spans="1:35">
      <c r="A14" s="62" t="s">
        <v>46</v>
      </c>
      <c r="B14" s="64" t="s">
        <v>100</v>
      </c>
      <c r="C14" s="62">
        <v>300</v>
      </c>
      <c r="D14" s="63">
        <v>0.92</v>
      </c>
      <c r="E14" s="1">
        <v>184</v>
      </c>
      <c r="F14" s="50">
        <f t="shared" si="3"/>
        <v>50784</v>
      </c>
      <c r="G14" s="54">
        <v>300</v>
      </c>
      <c r="H14" s="62">
        <v>1000</v>
      </c>
      <c r="I14" s="82">
        <v>482</v>
      </c>
      <c r="J14" s="84">
        <f t="shared" ref="J14" si="8">G14/H14*C14*I14</f>
        <v>43380</v>
      </c>
      <c r="K14" s="51">
        <f t="shared" ref="K14" si="9">J14+F14</f>
        <v>94164</v>
      </c>
      <c r="L14" s="84">
        <f t="shared" ref="L14" si="10">K14/C14</f>
        <v>313.88</v>
      </c>
      <c r="M14" s="1">
        <v>20</v>
      </c>
      <c r="N14" s="1">
        <v>10</v>
      </c>
      <c r="O14" s="1">
        <f t="shared" si="4"/>
        <v>10</v>
      </c>
      <c r="P14">
        <f t="shared" si="0"/>
        <v>441.45</v>
      </c>
      <c r="Q14" s="39">
        <f t="shared" si="2"/>
        <v>14.715</v>
      </c>
      <c r="S14" s="62">
        <f t="shared" si="1"/>
        <v>1411.5</v>
      </c>
      <c r="U14" s="62" t="s">
        <v>46</v>
      </c>
      <c r="V14" s="64" t="s">
        <v>100</v>
      </c>
      <c r="W14" s="62">
        <v>700</v>
      </c>
      <c r="X14" s="63">
        <v>0.92</v>
      </c>
      <c r="Y14" s="1">
        <v>184</v>
      </c>
      <c r="Z14" s="50">
        <f t="shared" si="7"/>
        <v>118496</v>
      </c>
      <c r="AA14" s="54">
        <v>300</v>
      </c>
      <c r="AB14" s="62">
        <v>1000</v>
      </c>
      <c r="AC14" s="82">
        <v>482</v>
      </c>
      <c r="AD14" s="84">
        <f>AA14/AB14*W14*AC14</f>
        <v>101220</v>
      </c>
      <c r="AE14" s="51">
        <f t="shared" ref="AE14" si="11">AD14+Z14</f>
        <v>219716</v>
      </c>
      <c r="AF14" s="84">
        <f t="shared" ref="AF14" si="12">AE14/W14</f>
        <v>313.88</v>
      </c>
      <c r="AG14" s="1">
        <v>20</v>
      </c>
      <c r="AH14" s="1">
        <v>10</v>
      </c>
      <c r="AI14" s="1">
        <f t="shared" si="6"/>
        <v>10</v>
      </c>
    </row>
    <row r="15" spans="1:35">
      <c r="A15" s="559" t="s">
        <v>135</v>
      </c>
      <c r="B15" s="64" t="s">
        <v>94</v>
      </c>
      <c r="C15" s="62">
        <v>60</v>
      </c>
      <c r="D15" s="63">
        <v>4.25</v>
      </c>
      <c r="E15" s="1">
        <v>184</v>
      </c>
      <c r="F15" s="50">
        <f t="shared" si="3"/>
        <v>46920</v>
      </c>
      <c r="G15" s="552">
        <v>1250</v>
      </c>
      <c r="H15" s="564">
        <v>1471.5</v>
      </c>
      <c r="I15" s="527">
        <v>482</v>
      </c>
      <c r="J15" s="525">
        <f>G15/H15*SUM(C15:C19)*I15</f>
        <v>171967.38022426094</v>
      </c>
      <c r="K15" s="542">
        <f>J15+SUM(F15:F19)</f>
        <v>492127.38022426097</v>
      </c>
      <c r="L15" s="525">
        <f>K15/SUM(C15:C19)</f>
        <v>1171.7318576768118</v>
      </c>
      <c r="M15" s="1">
        <v>7</v>
      </c>
      <c r="N15" s="1">
        <v>2</v>
      </c>
      <c r="O15" s="1">
        <f t="shared" si="4"/>
        <v>5</v>
      </c>
      <c r="P15">
        <f t="shared" si="0"/>
        <v>0</v>
      </c>
      <c r="Q15" s="39">
        <f t="shared" si="2"/>
        <v>0</v>
      </c>
      <c r="S15" s="62">
        <f t="shared" si="1"/>
        <v>-90</v>
      </c>
      <c r="U15" s="559" t="s">
        <v>135</v>
      </c>
      <c r="V15" s="64" t="s">
        <v>94</v>
      </c>
      <c r="W15" s="62">
        <v>148.5</v>
      </c>
      <c r="X15" s="63">
        <v>4.25</v>
      </c>
      <c r="Y15" s="1">
        <v>184</v>
      </c>
      <c r="Z15" s="50">
        <f t="shared" si="7"/>
        <v>116127</v>
      </c>
      <c r="AA15" s="552">
        <v>1250</v>
      </c>
      <c r="AB15" s="564">
        <v>1471.5</v>
      </c>
      <c r="AC15" s="527">
        <v>482</v>
      </c>
      <c r="AD15" s="525">
        <f>AA15/AB15*SUM(W15:W19)*AC15</f>
        <v>430532.61977573903</v>
      </c>
      <c r="AE15" s="542">
        <f>AD15+SUM(Z15:Z19)</f>
        <v>1233301.619775739</v>
      </c>
      <c r="AF15" s="525">
        <f>AE15/SUM(W15:W19)</f>
        <v>1172.89740349571</v>
      </c>
      <c r="AG15" s="1">
        <v>7</v>
      </c>
      <c r="AH15" s="1">
        <v>2</v>
      </c>
      <c r="AI15" s="1">
        <f t="shared" si="6"/>
        <v>5</v>
      </c>
    </row>
    <row r="16" spans="1:35">
      <c r="A16" s="567"/>
      <c r="B16" s="64" t="s">
        <v>98</v>
      </c>
      <c r="C16" s="62">
        <v>90</v>
      </c>
      <c r="D16" s="63">
        <v>4.25</v>
      </c>
      <c r="E16" s="1">
        <v>184</v>
      </c>
      <c r="F16" s="50">
        <f t="shared" si="3"/>
        <v>70380</v>
      </c>
      <c r="G16" s="567"/>
      <c r="H16" s="567"/>
      <c r="I16" s="567"/>
      <c r="J16" s="567"/>
      <c r="K16" s="567"/>
      <c r="L16" s="534"/>
      <c r="M16" s="1">
        <v>11</v>
      </c>
      <c r="N16" s="1">
        <v>3</v>
      </c>
      <c r="O16" s="1">
        <f t="shared" si="4"/>
        <v>8</v>
      </c>
      <c r="P16">
        <f t="shared" si="0"/>
        <v>0</v>
      </c>
      <c r="Q16" s="39">
        <f t="shared" si="2"/>
        <v>0</v>
      </c>
      <c r="S16" s="62">
        <f t="shared" si="1"/>
        <v>-120</v>
      </c>
      <c r="U16" s="560"/>
      <c r="V16" s="64" t="s">
        <v>98</v>
      </c>
      <c r="W16" s="62">
        <v>238</v>
      </c>
      <c r="X16" s="63">
        <v>4.25</v>
      </c>
      <c r="Y16" s="1">
        <v>184</v>
      </c>
      <c r="Z16" s="50">
        <f t="shared" si="7"/>
        <v>186116</v>
      </c>
      <c r="AA16" s="567"/>
      <c r="AB16" s="567"/>
      <c r="AC16" s="567"/>
      <c r="AD16" s="567"/>
      <c r="AE16" s="567"/>
      <c r="AF16" s="534"/>
      <c r="AG16" s="1">
        <v>11</v>
      </c>
      <c r="AH16" s="1">
        <v>3</v>
      </c>
      <c r="AI16" s="1">
        <f t="shared" si="6"/>
        <v>8</v>
      </c>
    </row>
    <row r="17" spans="1:35">
      <c r="A17" s="567"/>
      <c r="B17" s="64" t="s">
        <v>95</v>
      </c>
      <c r="C17" s="62">
        <v>120</v>
      </c>
      <c r="D17" s="63">
        <v>4.25</v>
      </c>
      <c r="E17" s="1">
        <v>184</v>
      </c>
      <c r="F17" s="50">
        <f t="shared" si="3"/>
        <v>93840</v>
      </c>
      <c r="G17" s="567"/>
      <c r="H17" s="567"/>
      <c r="I17" s="567"/>
      <c r="J17" s="567"/>
      <c r="K17" s="567"/>
      <c r="L17" s="534"/>
      <c r="M17" s="1">
        <v>14</v>
      </c>
      <c r="N17" s="1">
        <v>4</v>
      </c>
      <c r="O17" s="1">
        <f t="shared" si="4"/>
        <v>10</v>
      </c>
      <c r="P17">
        <f t="shared" si="0"/>
        <v>0</v>
      </c>
      <c r="Q17" s="39">
        <f t="shared" si="2"/>
        <v>0</v>
      </c>
      <c r="S17" s="62">
        <f t="shared" si="1"/>
        <v>-90</v>
      </c>
      <c r="U17" s="560"/>
      <c r="V17" s="64" t="s">
        <v>95</v>
      </c>
      <c r="W17" s="62">
        <v>304</v>
      </c>
      <c r="X17" s="63">
        <v>4.25</v>
      </c>
      <c r="Y17" s="1">
        <v>184</v>
      </c>
      <c r="Z17" s="50">
        <f t="shared" si="7"/>
        <v>237728</v>
      </c>
      <c r="AA17" s="567"/>
      <c r="AB17" s="567"/>
      <c r="AC17" s="567"/>
      <c r="AD17" s="567"/>
      <c r="AE17" s="567"/>
      <c r="AF17" s="534"/>
      <c r="AG17" s="1">
        <v>14</v>
      </c>
      <c r="AH17" s="1">
        <v>4</v>
      </c>
      <c r="AI17" s="1">
        <f t="shared" si="6"/>
        <v>10</v>
      </c>
    </row>
    <row r="18" spans="1:35">
      <c r="A18" s="567"/>
      <c r="B18" s="64" t="s">
        <v>96</v>
      </c>
      <c r="C18" s="62">
        <v>90</v>
      </c>
      <c r="D18" s="63">
        <v>3.75</v>
      </c>
      <c r="E18" s="1">
        <v>184</v>
      </c>
      <c r="F18" s="50">
        <f t="shared" si="3"/>
        <v>62100</v>
      </c>
      <c r="G18" s="567"/>
      <c r="H18" s="567"/>
      <c r="I18" s="567"/>
      <c r="J18" s="567"/>
      <c r="K18" s="567"/>
      <c r="L18" s="534"/>
      <c r="M18" s="1">
        <v>10</v>
      </c>
      <c r="N18" s="1">
        <v>3</v>
      </c>
      <c r="O18" s="1">
        <f t="shared" si="4"/>
        <v>7</v>
      </c>
      <c r="P18">
        <f t="shared" si="0"/>
        <v>0</v>
      </c>
      <c r="Q18" s="39">
        <f t="shared" si="2"/>
        <v>0</v>
      </c>
      <c r="S18" s="62">
        <f t="shared" si="1"/>
        <v>-60</v>
      </c>
      <c r="U18" s="560"/>
      <c r="V18" s="64" t="s">
        <v>96</v>
      </c>
      <c r="W18" s="62">
        <v>212</v>
      </c>
      <c r="X18" s="63">
        <v>3.75</v>
      </c>
      <c r="Y18" s="1">
        <v>184</v>
      </c>
      <c r="Z18" s="50">
        <f t="shared" si="7"/>
        <v>146280</v>
      </c>
      <c r="AA18" s="567"/>
      <c r="AB18" s="567"/>
      <c r="AC18" s="567"/>
      <c r="AD18" s="567"/>
      <c r="AE18" s="567"/>
      <c r="AF18" s="534"/>
      <c r="AG18" s="1">
        <v>10</v>
      </c>
      <c r="AH18" s="1">
        <v>3</v>
      </c>
      <c r="AI18" s="1">
        <f t="shared" si="6"/>
        <v>7</v>
      </c>
    </row>
    <row r="19" spans="1:35">
      <c r="A19" s="568"/>
      <c r="B19" s="64" t="s">
        <v>102</v>
      </c>
      <c r="C19" s="62">
        <v>60</v>
      </c>
      <c r="D19" s="63">
        <v>4.25</v>
      </c>
      <c r="E19" s="1">
        <v>184</v>
      </c>
      <c r="F19" s="50">
        <f t="shared" si="3"/>
        <v>46920</v>
      </c>
      <c r="G19" s="568"/>
      <c r="H19" s="568"/>
      <c r="I19" s="568"/>
      <c r="J19" s="568"/>
      <c r="K19" s="568"/>
      <c r="L19" s="528"/>
      <c r="M19" s="1">
        <v>7</v>
      </c>
      <c r="N19" s="1">
        <v>2</v>
      </c>
      <c r="O19" s="1">
        <f t="shared" si="4"/>
        <v>5</v>
      </c>
      <c r="P19">
        <f t="shared" si="0"/>
        <v>598.79999999999995</v>
      </c>
      <c r="Q19" s="39">
        <f t="shared" si="2"/>
        <v>19.959999999999997</v>
      </c>
      <c r="S19" s="62">
        <f t="shared" si="1"/>
        <v>1876</v>
      </c>
      <c r="U19" s="561"/>
      <c r="V19" s="64" t="s">
        <v>102</v>
      </c>
      <c r="W19" s="62">
        <v>149</v>
      </c>
      <c r="X19" s="63">
        <v>4.25</v>
      </c>
      <c r="Y19" s="1">
        <v>184</v>
      </c>
      <c r="Z19" s="50">
        <f t="shared" si="7"/>
        <v>116518</v>
      </c>
      <c r="AA19" s="568"/>
      <c r="AB19" s="568"/>
      <c r="AC19" s="568"/>
      <c r="AD19" s="568"/>
      <c r="AE19" s="568"/>
      <c r="AF19" s="528"/>
      <c r="AG19" s="1">
        <v>7</v>
      </c>
      <c r="AH19" s="1">
        <v>2</v>
      </c>
      <c r="AI19" s="1">
        <f t="shared" si="6"/>
        <v>5</v>
      </c>
    </row>
    <row r="20" spans="1:35">
      <c r="A20" s="559" t="s">
        <v>136</v>
      </c>
      <c r="B20" s="64" t="s">
        <v>96</v>
      </c>
      <c r="C20" s="62">
        <v>120</v>
      </c>
      <c r="D20" s="63">
        <v>3.75</v>
      </c>
      <c r="E20" s="1">
        <v>184</v>
      </c>
      <c r="F20" s="50">
        <f t="shared" si="3"/>
        <v>82800</v>
      </c>
      <c r="G20" s="552">
        <v>1320</v>
      </c>
      <c r="H20" s="564">
        <v>1996</v>
      </c>
      <c r="I20" s="527">
        <v>482</v>
      </c>
      <c r="J20" s="525">
        <f>G20/H20*SUM(C20:C24)*I20</f>
        <v>191254.50901803607</v>
      </c>
      <c r="K20" s="542">
        <f>J20+SUM(F20:F24)</f>
        <v>649414.50901803607</v>
      </c>
      <c r="L20" s="525">
        <f>K20/SUM(C20:C24)</f>
        <v>1082.3575150300601</v>
      </c>
      <c r="M20" s="1">
        <v>14</v>
      </c>
      <c r="N20" s="1">
        <v>4</v>
      </c>
      <c r="O20" s="1">
        <f t="shared" si="4"/>
        <v>10</v>
      </c>
      <c r="P20">
        <f t="shared" si="0"/>
        <v>0</v>
      </c>
      <c r="Q20" s="39">
        <f t="shared" si="2"/>
        <v>0</v>
      </c>
      <c r="S20" s="62">
        <f t="shared" si="1"/>
        <v>-60</v>
      </c>
      <c r="U20" s="559" t="s">
        <v>136</v>
      </c>
      <c r="V20" s="64" t="s">
        <v>96</v>
      </c>
      <c r="W20" s="62">
        <v>298</v>
      </c>
      <c r="X20" s="63">
        <v>3.75</v>
      </c>
      <c r="Y20" s="1">
        <v>184</v>
      </c>
      <c r="Z20" s="50">
        <f t="shared" si="7"/>
        <v>205620</v>
      </c>
      <c r="AA20" s="552">
        <v>1320</v>
      </c>
      <c r="AB20" s="564">
        <v>1996</v>
      </c>
      <c r="AC20" s="527">
        <v>482</v>
      </c>
      <c r="AD20" s="525">
        <f>AA20/AB20*SUM(W20:W24)*AC20</f>
        <v>444985.49098196393</v>
      </c>
      <c r="AE20" s="542">
        <f>AD20+SUM(Z20:Z24)</f>
        <v>1509241.4909819639</v>
      </c>
      <c r="AF20" s="525">
        <f>AE20/SUM(W20:W24)</f>
        <v>1081.1185465486847</v>
      </c>
      <c r="AG20" s="1">
        <v>14</v>
      </c>
      <c r="AH20" s="1">
        <v>4</v>
      </c>
      <c r="AI20" s="1">
        <f t="shared" si="6"/>
        <v>10</v>
      </c>
    </row>
    <row r="21" spans="1:35">
      <c r="A21" s="567"/>
      <c r="B21" s="64" t="s">
        <v>102</v>
      </c>
      <c r="C21" s="62">
        <v>60</v>
      </c>
      <c r="D21" s="63">
        <v>4.25</v>
      </c>
      <c r="E21" s="1">
        <v>184</v>
      </c>
      <c r="F21" s="50">
        <f t="shared" si="3"/>
        <v>46920</v>
      </c>
      <c r="G21" s="567"/>
      <c r="H21" s="567"/>
      <c r="I21" s="567"/>
      <c r="J21" s="567"/>
      <c r="K21" s="567"/>
      <c r="L21" s="534"/>
      <c r="M21" s="1">
        <v>7</v>
      </c>
      <c r="N21" s="1">
        <v>2</v>
      </c>
      <c r="O21" s="1">
        <f t="shared" si="4"/>
        <v>5</v>
      </c>
      <c r="P21">
        <f t="shared" si="0"/>
        <v>0</v>
      </c>
      <c r="Q21" s="39">
        <f t="shared" si="2"/>
        <v>0</v>
      </c>
      <c r="S21" s="62">
        <f t="shared" si="1"/>
        <v>-210</v>
      </c>
      <c r="U21" s="560"/>
      <c r="V21" s="64" t="s">
        <v>102</v>
      </c>
      <c r="W21" s="62">
        <v>145</v>
      </c>
      <c r="X21" s="63">
        <v>4.25</v>
      </c>
      <c r="Y21" s="1">
        <v>184</v>
      </c>
      <c r="Z21" s="50">
        <f t="shared" si="7"/>
        <v>113390</v>
      </c>
      <c r="AA21" s="567"/>
      <c r="AB21" s="567"/>
      <c r="AC21" s="567"/>
      <c r="AD21" s="567"/>
      <c r="AE21" s="567"/>
      <c r="AF21" s="534"/>
      <c r="AG21" s="1">
        <v>7</v>
      </c>
      <c r="AH21" s="1">
        <v>2</v>
      </c>
      <c r="AI21" s="1">
        <f t="shared" si="6"/>
        <v>5</v>
      </c>
    </row>
    <row r="22" spans="1:35">
      <c r="A22" s="567"/>
      <c r="B22" s="64" t="s">
        <v>95</v>
      </c>
      <c r="C22" s="62">
        <v>210</v>
      </c>
      <c r="D22" s="63">
        <v>4.25</v>
      </c>
      <c r="E22" s="1">
        <v>184</v>
      </c>
      <c r="F22" s="50">
        <f t="shared" si="3"/>
        <v>164220</v>
      </c>
      <c r="G22" s="567"/>
      <c r="H22" s="567"/>
      <c r="I22" s="567"/>
      <c r="J22" s="567"/>
      <c r="K22" s="567"/>
      <c r="L22" s="534"/>
      <c r="M22" s="1">
        <v>24</v>
      </c>
      <c r="N22" s="1">
        <v>7</v>
      </c>
      <c r="O22" s="1">
        <f t="shared" si="4"/>
        <v>17</v>
      </c>
      <c r="P22">
        <f t="shared" si="0"/>
        <v>0</v>
      </c>
      <c r="Q22" s="39">
        <f t="shared" si="2"/>
        <v>0</v>
      </c>
      <c r="S22" s="62">
        <f t="shared" si="1"/>
        <v>-120</v>
      </c>
      <c r="U22" s="560"/>
      <c r="V22" s="64" t="s">
        <v>95</v>
      </c>
      <c r="W22" s="62">
        <v>500</v>
      </c>
      <c r="X22" s="63">
        <v>4.25</v>
      </c>
      <c r="Y22" s="1">
        <v>184</v>
      </c>
      <c r="Z22" s="50">
        <f t="shared" si="7"/>
        <v>391000</v>
      </c>
      <c r="AA22" s="567"/>
      <c r="AB22" s="567"/>
      <c r="AC22" s="567"/>
      <c r="AD22" s="567"/>
      <c r="AE22" s="567"/>
      <c r="AF22" s="534"/>
      <c r="AG22" s="1">
        <v>24</v>
      </c>
      <c r="AH22" s="1">
        <v>7</v>
      </c>
      <c r="AI22" s="1">
        <f t="shared" si="6"/>
        <v>17</v>
      </c>
    </row>
    <row r="23" spans="1:35">
      <c r="A23" s="567"/>
      <c r="B23" s="64" t="s">
        <v>98</v>
      </c>
      <c r="C23" s="62">
        <v>120</v>
      </c>
      <c r="D23" s="63">
        <v>4.25</v>
      </c>
      <c r="E23" s="1">
        <v>184</v>
      </c>
      <c r="F23" s="50">
        <f t="shared" si="3"/>
        <v>93840</v>
      </c>
      <c r="G23" s="567"/>
      <c r="H23" s="567"/>
      <c r="I23" s="567"/>
      <c r="J23" s="567"/>
      <c r="K23" s="567"/>
      <c r="L23" s="534"/>
      <c r="M23" s="1">
        <v>12</v>
      </c>
      <c r="N23" s="1">
        <v>4</v>
      </c>
      <c r="O23" s="1">
        <f t="shared" si="4"/>
        <v>8</v>
      </c>
      <c r="P23">
        <f>H24*30%</f>
        <v>0</v>
      </c>
      <c r="Q23" s="39">
        <f t="shared" si="2"/>
        <v>0</v>
      </c>
      <c r="S23" s="62">
        <f t="shared" si="1"/>
        <v>-90</v>
      </c>
      <c r="U23" s="560"/>
      <c r="V23" s="64" t="s">
        <v>98</v>
      </c>
      <c r="W23" s="62">
        <v>247</v>
      </c>
      <c r="X23" s="63">
        <v>4.25</v>
      </c>
      <c r="Y23" s="1">
        <v>184</v>
      </c>
      <c r="Z23" s="50">
        <f t="shared" si="7"/>
        <v>193154</v>
      </c>
      <c r="AA23" s="567"/>
      <c r="AB23" s="567"/>
      <c r="AC23" s="567"/>
      <c r="AD23" s="567"/>
      <c r="AE23" s="567"/>
      <c r="AF23" s="534"/>
      <c r="AG23" s="1">
        <v>12</v>
      </c>
      <c r="AH23" s="1">
        <v>4</v>
      </c>
      <c r="AI23" s="1">
        <f t="shared" si="6"/>
        <v>8</v>
      </c>
    </row>
    <row r="24" spans="1:35">
      <c r="A24" s="568"/>
      <c r="B24" s="64" t="s">
        <v>94</v>
      </c>
      <c r="C24" s="62">
        <v>90</v>
      </c>
      <c r="D24" s="63">
        <v>4.25</v>
      </c>
      <c r="E24" s="1">
        <v>184</v>
      </c>
      <c r="F24" s="50">
        <f t="shared" si="3"/>
        <v>70380</v>
      </c>
      <c r="G24" s="568"/>
      <c r="H24" s="568"/>
      <c r="I24" s="568"/>
      <c r="J24" s="568"/>
      <c r="K24" s="568"/>
      <c r="L24" s="528"/>
      <c r="M24" s="1">
        <v>10</v>
      </c>
      <c r="N24" s="1">
        <v>3</v>
      </c>
      <c r="O24" s="1">
        <f t="shared" si="4"/>
        <v>7</v>
      </c>
      <c r="P24">
        <f t="shared" si="0"/>
        <v>660.3</v>
      </c>
      <c r="Q24" s="39">
        <f t="shared" si="2"/>
        <v>22.009999999999998</v>
      </c>
      <c r="S24" s="62">
        <f t="shared" si="1"/>
        <v>1841</v>
      </c>
      <c r="U24" s="561"/>
      <c r="V24" s="64" t="s">
        <v>94</v>
      </c>
      <c r="W24" s="62">
        <v>206</v>
      </c>
      <c r="X24" s="63">
        <v>4.25</v>
      </c>
      <c r="Y24" s="1">
        <v>184</v>
      </c>
      <c r="Z24" s="50">
        <f t="shared" si="7"/>
        <v>161092</v>
      </c>
      <c r="AA24" s="568"/>
      <c r="AB24" s="568"/>
      <c r="AC24" s="568"/>
      <c r="AD24" s="568"/>
      <c r="AE24" s="568"/>
      <c r="AF24" s="528"/>
      <c r="AG24" s="1">
        <v>10</v>
      </c>
      <c r="AH24" s="1">
        <v>3</v>
      </c>
      <c r="AI24" s="1">
        <f t="shared" si="6"/>
        <v>7</v>
      </c>
    </row>
    <row r="25" spans="1:35">
      <c r="A25" s="62" t="s">
        <v>137</v>
      </c>
      <c r="B25" s="64" t="s">
        <v>98</v>
      </c>
      <c r="C25" s="62">
        <v>360</v>
      </c>
      <c r="D25" s="63">
        <v>1.33</v>
      </c>
      <c r="E25" s="1">
        <v>184</v>
      </c>
      <c r="F25" s="50">
        <f t="shared" si="3"/>
        <v>88099.199999999997</v>
      </c>
      <c r="G25" s="552">
        <v>780</v>
      </c>
      <c r="H25" s="564">
        <v>2201</v>
      </c>
      <c r="I25" s="527">
        <v>482</v>
      </c>
      <c r="J25" s="525">
        <f>G25/H25*SUM(C25:C26)*I25</f>
        <v>112736.75601999091</v>
      </c>
      <c r="K25" s="542">
        <f>J25+SUM(F25:F26)</f>
        <v>268179.9560199909</v>
      </c>
      <c r="L25" s="525">
        <f>K25/SUM(C25:C26)</f>
        <v>406.33326669695589</v>
      </c>
      <c r="M25" s="1">
        <v>41</v>
      </c>
      <c r="N25" s="1">
        <v>12</v>
      </c>
      <c r="O25" s="1">
        <f t="shared" si="4"/>
        <v>29</v>
      </c>
      <c r="P25">
        <f t="shared" si="0"/>
        <v>0</v>
      </c>
      <c r="Q25" s="39">
        <f t="shared" si="2"/>
        <v>0</v>
      </c>
      <c r="S25" s="62">
        <f t="shared" si="1"/>
        <v>-300</v>
      </c>
      <c r="U25" s="62" t="s">
        <v>137</v>
      </c>
      <c r="V25" s="64" t="s">
        <v>98</v>
      </c>
      <c r="W25" s="62">
        <v>873</v>
      </c>
      <c r="X25" s="63">
        <v>1.33</v>
      </c>
      <c r="Y25" s="1">
        <v>184</v>
      </c>
      <c r="Z25" s="50">
        <f t="shared" si="7"/>
        <v>213640.56000000003</v>
      </c>
      <c r="AA25" s="552">
        <v>780</v>
      </c>
      <c r="AB25" s="564">
        <v>2201</v>
      </c>
      <c r="AC25" s="527">
        <v>482</v>
      </c>
      <c r="AD25" s="525">
        <f>AA25/AB25*SUM(W25:W26)*AC25</f>
        <v>263223.24398000905</v>
      </c>
      <c r="AE25" s="542">
        <f>AD25+SUM(Z25:Z26)</f>
        <v>626816.44398000906</v>
      </c>
      <c r="AF25" s="525">
        <f>AE25/SUM(W25:W26)</f>
        <v>406.75953535367233</v>
      </c>
      <c r="AG25" s="1">
        <v>41</v>
      </c>
      <c r="AH25" s="1">
        <v>12</v>
      </c>
      <c r="AI25" s="1">
        <f t="shared" si="6"/>
        <v>29</v>
      </c>
    </row>
    <row r="26" spans="1:35">
      <c r="A26" s="62" t="s">
        <v>138</v>
      </c>
      <c r="B26" s="64" t="s">
        <v>98</v>
      </c>
      <c r="C26" s="62">
        <v>300</v>
      </c>
      <c r="D26" s="63">
        <v>1.22</v>
      </c>
      <c r="E26" s="1">
        <v>184</v>
      </c>
      <c r="F26" s="50">
        <f t="shared" si="3"/>
        <v>67344</v>
      </c>
      <c r="G26" s="554"/>
      <c r="H26" s="566"/>
      <c r="I26" s="528"/>
      <c r="J26" s="526"/>
      <c r="K26" s="544"/>
      <c r="L26" s="526"/>
      <c r="M26" s="1">
        <v>32</v>
      </c>
      <c r="N26" s="1">
        <v>10</v>
      </c>
      <c r="O26" s="1">
        <f t="shared" si="4"/>
        <v>22</v>
      </c>
      <c r="S26" s="65">
        <f>SUM(S2:S25)</f>
        <v>11037.5</v>
      </c>
      <c r="U26" s="62" t="s">
        <v>138</v>
      </c>
      <c r="V26" s="64" t="s">
        <v>98</v>
      </c>
      <c r="W26" s="62">
        <v>668</v>
      </c>
      <c r="X26" s="63">
        <v>1.22</v>
      </c>
      <c r="Y26" s="1">
        <v>184</v>
      </c>
      <c r="Z26" s="50">
        <f t="shared" si="7"/>
        <v>149952.64000000001</v>
      </c>
      <c r="AA26" s="554"/>
      <c r="AB26" s="566"/>
      <c r="AC26" s="528"/>
      <c r="AD26" s="526"/>
      <c r="AE26" s="544"/>
      <c r="AF26" s="526"/>
      <c r="AG26" s="1">
        <v>32</v>
      </c>
      <c r="AH26" s="1">
        <v>10</v>
      </c>
      <c r="AI26" s="1">
        <f t="shared" si="6"/>
        <v>22</v>
      </c>
    </row>
    <row r="27" spans="1:35">
      <c r="A27" s="62" t="s">
        <v>4</v>
      </c>
      <c r="B27" s="62"/>
      <c r="C27" s="1">
        <f>SUM(C3:C26)</f>
        <v>4680</v>
      </c>
      <c r="D27" s="1"/>
      <c r="E27" s="1"/>
      <c r="F27" s="7">
        <f>SUM(F3:F26)</f>
        <v>1588159.2</v>
      </c>
      <c r="G27" s="7">
        <f>SUM(G3:G26)</f>
        <v>7300</v>
      </c>
      <c r="H27" s="1">
        <f>SUM(H3:H26)</f>
        <v>15717.5</v>
      </c>
      <c r="I27" s="1"/>
      <c r="J27" s="7">
        <f t="shared" ref="J27:O27" si="13">SUM(J3:J26)</f>
        <v>1043361.4657757052</v>
      </c>
      <c r="K27" s="51">
        <f t="shared" si="13"/>
        <v>2631520.6657757051</v>
      </c>
      <c r="L27" s="7">
        <f t="shared" si="13"/>
        <v>4320.0198958235942</v>
      </c>
      <c r="M27" s="1">
        <f t="shared" si="13"/>
        <v>510</v>
      </c>
      <c r="N27" s="1">
        <f t="shared" si="13"/>
        <v>156</v>
      </c>
      <c r="O27" s="1">
        <f t="shared" si="13"/>
        <v>354</v>
      </c>
      <c r="U27" s="62" t="s">
        <v>4</v>
      </c>
      <c r="V27" s="62"/>
      <c r="W27" s="1">
        <f>SUM(W3:W26)</f>
        <v>11037.5</v>
      </c>
      <c r="X27" s="1"/>
      <c r="Y27" s="1"/>
      <c r="Z27" s="7">
        <f>SUM(Z3:Z26)</f>
        <v>3773217.16</v>
      </c>
      <c r="AA27" s="7">
        <f>SUM(AA3:AA26)</f>
        <v>7300</v>
      </c>
      <c r="AB27" s="1">
        <f>SUM(AB3:AB26)</f>
        <v>15717.5</v>
      </c>
      <c r="AC27" s="1"/>
      <c r="AD27" s="27">
        <f t="shared" ref="AD27:AF27" si="14">SUM(AD3:AD26)</f>
        <v>2475238.5342242951</v>
      </c>
      <c r="AE27" s="51">
        <f t="shared" si="14"/>
        <v>6248455.6942242952</v>
      </c>
      <c r="AF27" s="7">
        <f t="shared" si="14"/>
        <v>4320.7505278413328</v>
      </c>
      <c r="AG27" s="1">
        <f t="shared" ref="AG27:AI27" si="15">SUM(AG3:AG26)</f>
        <v>510</v>
      </c>
      <c r="AH27" s="1">
        <f t="shared" si="15"/>
        <v>156</v>
      </c>
      <c r="AI27" s="1">
        <f t="shared" si="15"/>
        <v>354</v>
      </c>
    </row>
  </sheetData>
  <mergeCells count="84">
    <mergeCell ref="AE25:AE26"/>
    <mergeCell ref="AF25:AF26"/>
    <mergeCell ref="AA20:AA24"/>
    <mergeCell ref="AB20:AB24"/>
    <mergeCell ref="AC20:AC24"/>
    <mergeCell ref="AD20:AD24"/>
    <mergeCell ref="AE20:AE24"/>
    <mergeCell ref="AF20:AF24"/>
    <mergeCell ref="L25:L26"/>
    <mergeCell ref="AA25:AA26"/>
    <mergeCell ref="AB25:AB26"/>
    <mergeCell ref="AC25:AC26"/>
    <mergeCell ref="AD25:AD26"/>
    <mergeCell ref="G25:G26"/>
    <mergeCell ref="H25:H26"/>
    <mergeCell ref="J25:J26"/>
    <mergeCell ref="I25:I26"/>
    <mergeCell ref="K25:K26"/>
    <mergeCell ref="AF11:AF13"/>
    <mergeCell ref="AA15:AA19"/>
    <mergeCell ref="AB15:AB19"/>
    <mergeCell ref="AC15:AC19"/>
    <mergeCell ref="AD15:AD19"/>
    <mergeCell ref="AE15:AE19"/>
    <mergeCell ref="AF15:AF19"/>
    <mergeCell ref="AA11:AA13"/>
    <mergeCell ref="AB11:AB13"/>
    <mergeCell ref="AC11:AC13"/>
    <mergeCell ref="AD11:AD13"/>
    <mergeCell ref="AE11:AE13"/>
    <mergeCell ref="AF3:AF5"/>
    <mergeCell ref="AA6:AA10"/>
    <mergeCell ref="AB6:AB10"/>
    <mergeCell ref="AC6:AC10"/>
    <mergeCell ref="AD6:AD10"/>
    <mergeCell ref="AE6:AE10"/>
    <mergeCell ref="AF6:AF10"/>
    <mergeCell ref="AA3:AA5"/>
    <mergeCell ref="AB3:AB5"/>
    <mergeCell ref="AC3:AC5"/>
    <mergeCell ref="AD3:AD5"/>
    <mergeCell ref="AE3:AE5"/>
    <mergeCell ref="L3:L5"/>
    <mergeCell ref="L6:L10"/>
    <mergeCell ref="L11:L13"/>
    <mergeCell ref="L15:L19"/>
    <mergeCell ref="L20:L24"/>
    <mergeCell ref="K3:K5"/>
    <mergeCell ref="K6:K10"/>
    <mergeCell ref="K11:K13"/>
    <mergeCell ref="K15:K19"/>
    <mergeCell ref="K20:K24"/>
    <mergeCell ref="J3:J5"/>
    <mergeCell ref="J6:J10"/>
    <mergeCell ref="J11:J13"/>
    <mergeCell ref="J15:J19"/>
    <mergeCell ref="J20:J24"/>
    <mergeCell ref="I3:I5"/>
    <mergeCell ref="I6:I10"/>
    <mergeCell ref="I11:I13"/>
    <mergeCell ref="I15:I19"/>
    <mergeCell ref="I20:I24"/>
    <mergeCell ref="G20:G24"/>
    <mergeCell ref="H3:H5"/>
    <mergeCell ref="H6:H10"/>
    <mergeCell ref="H11:H13"/>
    <mergeCell ref="H15:H19"/>
    <mergeCell ref="H20:H24"/>
    <mergeCell ref="U20:U24"/>
    <mergeCell ref="A1:O1"/>
    <mergeCell ref="U1:AI1"/>
    <mergeCell ref="U3:U5"/>
    <mergeCell ref="U6:U10"/>
    <mergeCell ref="U11:U13"/>
    <mergeCell ref="U15:U19"/>
    <mergeCell ref="A3:A5"/>
    <mergeCell ref="A6:A10"/>
    <mergeCell ref="A11:A13"/>
    <mergeCell ref="A15:A19"/>
    <mergeCell ref="A20:A24"/>
    <mergeCell ref="G3:G5"/>
    <mergeCell ref="G6:G10"/>
    <mergeCell ref="G11:G13"/>
    <mergeCell ref="G15:G19"/>
  </mergeCells>
  <pageMargins left="0.39" right="0.2" top="1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02-06-21</vt:lpstr>
      <vt:lpstr>09-08-21</vt:lpstr>
      <vt:lpstr>LCL 20-09-21</vt:lpstr>
      <vt:lpstr>26-10-21 FCL</vt:lpstr>
      <vt:lpstr>LCL 19-11-21</vt:lpstr>
      <vt:lpstr>FCL 15-01-22</vt:lpstr>
      <vt:lpstr>FCL 25-02-22</vt:lpstr>
      <vt:lpstr>LCL 26-03-22</vt:lpstr>
      <vt:lpstr>FCL 12-04-22</vt:lpstr>
      <vt:lpstr>01-07-22</vt:lpstr>
      <vt:lpstr>24-08-22</vt:lpstr>
      <vt:lpstr>15-11-22</vt:lpstr>
      <vt:lpstr>10-01-23</vt:lpstr>
      <vt:lpstr>20-02-23</vt:lpstr>
      <vt:lpstr>17-4-23</vt:lpstr>
      <vt:lpstr>25-05-23</vt:lpstr>
      <vt:lpstr>03-07-23</vt:lpstr>
      <vt:lpstr>20-9-23</vt:lpstr>
      <vt:lpstr>7-10-23</vt:lpstr>
      <vt:lpstr>20-11-23</vt:lpstr>
      <vt:lpstr>1-12-23</vt:lpstr>
      <vt:lpstr>12-12-23</vt:lpstr>
      <vt:lpstr>30-12-23</vt:lpstr>
      <vt:lpstr>1-1-24</vt:lpstr>
      <vt:lpstr>17-02-24</vt:lpstr>
      <vt:lpstr>28-02-24</vt:lpstr>
      <vt:lpstr>24-4-24</vt:lpstr>
      <vt:lpstr>09-05-24</vt:lpstr>
      <vt:lpstr>08-06-24</vt:lpstr>
      <vt:lpstr>Sheet3</vt:lpstr>
      <vt:lpstr>Sheet2</vt:lpstr>
      <vt:lpstr>Sheet2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M.Faisal Saleem</dc:creator>
  <cp:lastModifiedBy>H</cp:lastModifiedBy>
  <cp:lastPrinted>2024-08-17T14:32:26Z</cp:lastPrinted>
  <dcterms:created xsi:type="dcterms:W3CDTF">2021-06-28T14:55:33Z</dcterms:created>
  <dcterms:modified xsi:type="dcterms:W3CDTF">2024-11-27T13:45:52Z</dcterms:modified>
</cp:coreProperties>
</file>