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\Documents\MECH431\data\"/>
    </mc:Choice>
  </mc:AlternateContent>
  <xr:revisionPtr revIDLastSave="0" documentId="13_ncr:1_{64B3B88C-53A1-4409-8C1D-8DF75E649048}" xr6:coauthVersionLast="34" xr6:coauthVersionMax="36" xr10:uidLastSave="{00000000-0000-0000-0000-000000000000}"/>
  <bookViews>
    <workbookView xWindow="0" yWindow="2235" windowWidth="38400" windowHeight="20100" tabRatio="582" firstSheet="1" activeTab="6" xr2:uid="{B79B3171-F36B-48DE-8068-476A01F57370}"/>
  </bookViews>
  <sheets>
    <sheet name="Constants" sheetId="1" r:id="rId1"/>
    <sheet name="Configurations" sheetId="15" r:id="rId2"/>
    <sheet name="Grid Power" sheetId="7" r:id="rId3"/>
    <sheet name="Weather" sheetId="10" r:id="rId4"/>
    <sheet name="Consumption" sheetId="11" r:id="rId5"/>
    <sheet name="Incentives" sheetId="16" r:id="rId6"/>
    <sheet name="Analysis (Nothing)" sheetId="5" r:id="rId7"/>
    <sheet name="Analysis (A)" sheetId="8" r:id="rId8"/>
    <sheet name="Replacement Analysis" sheetId="9" r:id="rId9"/>
    <sheet name="Installation" sheetId="12" r:id="rId10"/>
    <sheet name="Capital" sheetId="13" r:id="rId11"/>
    <sheet name="Sources" sheetId="4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H12" i="5"/>
  <c r="H11" i="5"/>
  <c r="I7" i="5"/>
  <c r="I6" i="5"/>
  <c r="I5" i="5"/>
  <c r="E5" i="5"/>
  <c r="T75" i="8"/>
  <c r="U75" i="8" l="1"/>
  <c r="R72" i="8"/>
  <c r="R73" i="8"/>
  <c r="R74" i="8"/>
  <c r="R75" i="8"/>
  <c r="R76" i="8"/>
  <c r="R77" i="8"/>
  <c r="R78" i="8"/>
  <c r="R79" i="8"/>
  <c r="R80" i="8"/>
  <c r="R71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55" i="8"/>
  <c r="K54" i="8"/>
  <c r="H54" i="8"/>
  <c r="F93" i="8"/>
  <c r="F94" i="8"/>
  <c r="F89" i="8"/>
  <c r="F90" i="8"/>
  <c r="F91" i="8"/>
  <c r="F92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G52" i="8"/>
  <c r="G54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52" i="8"/>
  <c r="AA9" i="8" l="1"/>
  <c r="N47" i="8"/>
  <c r="G12" i="15"/>
  <c r="L9" i="8"/>
  <c r="L10" i="8"/>
  <c r="L11" i="8"/>
  <c r="L12" i="8"/>
  <c r="R23" i="8" s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8" i="8"/>
  <c r="G11" i="15"/>
  <c r="N7" i="8"/>
  <c r="M7" i="8"/>
  <c r="P7" i="8" s="1"/>
  <c r="Q7" i="8" s="1"/>
  <c r="U7" i="8" s="1"/>
  <c r="V7" i="8" s="1"/>
  <c r="K7" i="8"/>
  <c r="R8" i="8" s="1"/>
  <c r="W7" i="8" l="1"/>
  <c r="R13" i="8"/>
  <c r="R42" i="8"/>
  <c r="R32" i="8"/>
  <c r="R22" i="8"/>
  <c r="R17" i="8"/>
  <c r="R38" i="8"/>
  <c r="R28" i="8"/>
  <c r="R18" i="8"/>
  <c r="R37" i="8"/>
  <c r="R27" i="8"/>
  <c r="R12" i="8"/>
  <c r="R43" i="8"/>
  <c r="R33" i="8"/>
  <c r="R7" i="8"/>
  <c r="T7" i="8" s="1"/>
  <c r="G8" i="8"/>
  <c r="C10" i="11"/>
  <c r="C11" i="11"/>
  <c r="C12" i="11"/>
  <c r="C13" i="11"/>
  <c r="C14" i="11"/>
  <c r="C15" i="11"/>
  <c r="C16" i="11"/>
  <c r="C17" i="11"/>
  <c r="C18" i="11"/>
  <c r="C19" i="11"/>
  <c r="C20" i="11"/>
  <c r="C9" i="11"/>
  <c r="C19" i="15"/>
  <c r="C9" i="8" s="1"/>
  <c r="G9" i="10"/>
  <c r="G10" i="10"/>
  <c r="G11" i="10"/>
  <c r="G12" i="10"/>
  <c r="G13" i="10"/>
  <c r="G14" i="10"/>
  <c r="G15" i="10"/>
  <c r="G16" i="10"/>
  <c r="G17" i="10"/>
  <c r="G18" i="10"/>
  <c r="G19" i="10"/>
  <c r="G8" i="10"/>
  <c r="C15" i="15"/>
  <c r="E7" i="15"/>
  <c r="E8" i="15"/>
  <c r="E9" i="15"/>
  <c r="E6" i="15"/>
  <c r="D8" i="12"/>
  <c r="E8" i="12"/>
  <c r="G9" i="8" l="1"/>
  <c r="G55" i="8"/>
  <c r="H55" i="8" s="1"/>
  <c r="Y7" i="8"/>
  <c r="S8" i="8"/>
  <c r="T8" i="8" s="1"/>
  <c r="C12" i="8"/>
  <c r="C7" i="8"/>
  <c r="C15" i="8"/>
  <c r="C11" i="8"/>
  <c r="C8" i="8"/>
  <c r="C18" i="8"/>
  <c r="C14" i="8"/>
  <c r="C10" i="8"/>
  <c r="C16" i="8"/>
  <c r="C17" i="8"/>
  <c r="C13" i="8"/>
  <c r="C13" i="15"/>
  <c r="C14" i="15" s="1"/>
  <c r="C16" i="15" s="1"/>
  <c r="C21" i="11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D8" i="10"/>
  <c r="G10" i="8" l="1"/>
  <c r="G56" i="8"/>
  <c r="H56" i="8" s="1"/>
  <c r="S9" i="8"/>
  <c r="T9" i="8" s="1"/>
  <c r="S10" i="8" s="1"/>
  <c r="T10" i="8" s="1"/>
  <c r="S11" i="8" s="1"/>
  <c r="T11" i="8" s="1"/>
  <c r="S12" i="8" s="1"/>
  <c r="T12" i="8" s="1"/>
  <c r="S13" i="8" s="1"/>
  <c r="T13" i="8" s="1"/>
  <c r="C19" i="8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U29" i="1"/>
  <c r="H8" i="8" l="1"/>
  <c r="I54" i="8"/>
  <c r="J54" i="8" s="1"/>
  <c r="I56" i="8"/>
  <c r="J56" i="8" s="1"/>
  <c r="I55" i="8"/>
  <c r="J55" i="8" s="1"/>
  <c r="G11" i="8"/>
  <c r="G57" i="8"/>
  <c r="H57" i="8" s="1"/>
  <c r="I57" i="8" s="1"/>
  <c r="J57" i="8" s="1"/>
  <c r="H9" i="8"/>
  <c r="I9" i="8" s="1"/>
  <c r="J9" i="8" s="1"/>
  <c r="H10" i="8"/>
  <c r="I10" i="8" s="1"/>
  <c r="J10" i="8" s="1"/>
  <c r="S14" i="8"/>
  <c r="T14" i="8"/>
  <c r="H11" i="8"/>
  <c r="I8" i="8"/>
  <c r="J8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J18" i="7" s="1"/>
  <c r="G19" i="7"/>
  <c r="J19" i="7" s="1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" i="7"/>
  <c r="G12" i="8" l="1"/>
  <c r="G58" i="8"/>
  <c r="H58" i="8" s="1"/>
  <c r="I58" i="8" s="1"/>
  <c r="J58" i="8" s="1"/>
  <c r="S15" i="8"/>
  <c r="T15" i="8" s="1"/>
  <c r="N10" i="8"/>
  <c r="P10" i="8" s="1"/>
  <c r="I11" i="8"/>
  <c r="J11" i="8" s="1"/>
  <c r="N8" i="8"/>
  <c r="P8" i="8" s="1"/>
  <c r="N9" i="8"/>
  <c r="P9" i="8" s="1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G13" i="8" l="1"/>
  <c r="G59" i="8"/>
  <c r="H59" i="8" s="1"/>
  <c r="I59" i="8" s="1"/>
  <c r="J59" i="8" s="1"/>
  <c r="H12" i="8"/>
  <c r="S16" i="8"/>
  <c r="T16" i="8" s="1"/>
  <c r="N11" i="8"/>
  <c r="P11" i="8" s="1"/>
  <c r="I49" i="7"/>
  <c r="K48" i="7"/>
  <c r="K41" i="7"/>
  <c r="K29" i="7"/>
  <c r="K38" i="7"/>
  <c r="K18" i="7"/>
  <c r="K35" i="7"/>
  <c r="K17" i="7"/>
  <c r="K45" i="7"/>
  <c r="K25" i="7"/>
  <c r="K30" i="7"/>
  <c r="K36" i="7"/>
  <c r="K32" i="7"/>
  <c r="K44" i="7"/>
  <c r="K33" i="7"/>
  <c r="K24" i="7"/>
  <c r="K31" i="7"/>
  <c r="K43" i="7"/>
  <c r="K37" i="7"/>
  <c r="K28" i="7"/>
  <c r="K21" i="7"/>
  <c r="K20" i="7"/>
  <c r="K19" i="7"/>
  <c r="K40" i="7"/>
  <c r="K47" i="7"/>
  <c r="K23" i="7"/>
  <c r="K26" i="7"/>
  <c r="K34" i="7"/>
  <c r="K27" i="7"/>
  <c r="K22" i="7"/>
  <c r="K46" i="7"/>
  <c r="K39" i="7"/>
  <c r="K42" i="7"/>
  <c r="L25" i="4"/>
  <c r="K28" i="4" s="1"/>
  <c r="K29" i="4" s="1"/>
  <c r="K30" i="4" s="1"/>
  <c r="K31" i="4" s="1"/>
  <c r="I12" i="8" l="1"/>
  <c r="J12" i="8" s="1"/>
  <c r="N12" i="8"/>
  <c r="P12" i="8" s="1"/>
  <c r="G14" i="8"/>
  <c r="G60" i="8"/>
  <c r="H60" i="8" s="1"/>
  <c r="I60" i="8" s="1"/>
  <c r="J60" i="8" s="1"/>
  <c r="H13" i="8"/>
  <c r="S17" i="8"/>
  <c r="T17" i="8" s="1"/>
  <c r="I50" i="7"/>
  <c r="K49" i="7"/>
  <c r="I13" i="8" l="1"/>
  <c r="J13" i="8" s="1"/>
  <c r="G15" i="8"/>
  <c r="G61" i="8"/>
  <c r="H61" i="8" s="1"/>
  <c r="I61" i="8" s="1"/>
  <c r="J61" i="8" s="1"/>
  <c r="H14" i="8"/>
  <c r="S18" i="8"/>
  <c r="T18" i="8" s="1"/>
  <c r="I51" i="7"/>
  <c r="K50" i="7"/>
  <c r="N13" i="8" l="1"/>
  <c r="P13" i="8" s="1"/>
  <c r="I14" i="8"/>
  <c r="J14" i="8" s="1"/>
  <c r="G16" i="8"/>
  <c r="G62" i="8"/>
  <c r="H62" i="8" s="1"/>
  <c r="I62" i="8" s="1"/>
  <c r="J62" i="8" s="1"/>
  <c r="H15" i="8"/>
  <c r="S19" i="8"/>
  <c r="T19" i="8" s="1"/>
  <c r="I52" i="7"/>
  <c r="K51" i="7"/>
  <c r="N14" i="8" l="1"/>
  <c r="P14" i="8" s="1"/>
  <c r="I15" i="8"/>
  <c r="J15" i="8" s="1"/>
  <c r="N15" i="8"/>
  <c r="P15" i="8" s="1"/>
  <c r="G17" i="8"/>
  <c r="G63" i="8"/>
  <c r="H63" i="8" s="1"/>
  <c r="I63" i="8" s="1"/>
  <c r="J63" i="8" s="1"/>
  <c r="H16" i="8"/>
  <c r="S20" i="8"/>
  <c r="T20" i="8" s="1"/>
  <c r="I53" i="7"/>
  <c r="K52" i="7"/>
  <c r="I16" i="8" l="1"/>
  <c r="J16" i="8" s="1"/>
  <c r="N16" i="8"/>
  <c r="P16" i="8" s="1"/>
  <c r="G18" i="8"/>
  <c r="G64" i="8"/>
  <c r="H64" i="8" s="1"/>
  <c r="I64" i="8" s="1"/>
  <c r="J64" i="8" s="1"/>
  <c r="H17" i="8"/>
  <c r="S21" i="8"/>
  <c r="T21" i="8" s="1"/>
  <c r="I54" i="7"/>
  <c r="K53" i="7"/>
  <c r="I17" i="8" l="1"/>
  <c r="J17" i="8" s="1"/>
  <c r="N17" i="8"/>
  <c r="P17" i="8" s="1"/>
  <c r="G19" i="8"/>
  <c r="G65" i="8"/>
  <c r="H65" i="8" s="1"/>
  <c r="I65" i="8" s="1"/>
  <c r="J65" i="8" s="1"/>
  <c r="H18" i="8"/>
  <c r="S22" i="8"/>
  <c r="T22" i="8" s="1"/>
  <c r="I55" i="7"/>
  <c r="K54" i="7"/>
  <c r="I18" i="8" l="1"/>
  <c r="J18" i="8" s="1"/>
  <c r="G20" i="8"/>
  <c r="G66" i="8"/>
  <c r="H66" i="8" s="1"/>
  <c r="I66" i="8" s="1"/>
  <c r="J66" i="8" s="1"/>
  <c r="H19" i="8"/>
  <c r="S23" i="8"/>
  <c r="T23" i="8"/>
  <c r="I56" i="7"/>
  <c r="K55" i="7"/>
  <c r="N18" i="8" l="1"/>
  <c r="P18" i="8" s="1"/>
  <c r="I19" i="8"/>
  <c r="J19" i="8" s="1"/>
  <c r="N19" i="8"/>
  <c r="P19" i="8" s="1"/>
  <c r="G21" i="8"/>
  <c r="G67" i="8"/>
  <c r="H67" i="8" s="1"/>
  <c r="I67" i="8" s="1"/>
  <c r="J67" i="8" s="1"/>
  <c r="H20" i="8"/>
  <c r="S24" i="8"/>
  <c r="T24" i="8" s="1"/>
  <c r="I57" i="7"/>
  <c r="K57" i="7" s="1"/>
  <c r="K56" i="7"/>
  <c r="C4" i="11"/>
  <c r="D16" i="11" s="1"/>
  <c r="I20" i="8" l="1"/>
  <c r="J20" i="8" s="1"/>
  <c r="N20" i="8"/>
  <c r="P20" i="8" s="1"/>
  <c r="G22" i="8"/>
  <c r="G68" i="8"/>
  <c r="H68" i="8" s="1"/>
  <c r="I68" i="8" s="1"/>
  <c r="J68" i="8" s="1"/>
  <c r="H21" i="8"/>
  <c r="S25" i="8"/>
  <c r="T25" i="8" s="1"/>
  <c r="D14" i="11"/>
  <c r="D13" i="11"/>
  <c r="D18" i="11"/>
  <c r="D9" i="11"/>
  <c r="D19" i="11"/>
  <c r="D10" i="11"/>
  <c r="D11" i="11"/>
  <c r="D15" i="11"/>
  <c r="D17" i="11"/>
  <c r="D12" i="11"/>
  <c r="D20" i="11"/>
  <c r="I21" i="8" l="1"/>
  <c r="J21" i="8" s="1"/>
  <c r="N21" i="8"/>
  <c r="P21" i="8" s="1"/>
  <c r="G23" i="8"/>
  <c r="G69" i="8"/>
  <c r="H69" i="8" s="1"/>
  <c r="I69" i="8" s="1"/>
  <c r="J69" i="8" s="1"/>
  <c r="H22" i="8"/>
  <c r="S26" i="8"/>
  <c r="T26" i="8"/>
  <c r="C43" i="5"/>
  <c r="D43" i="5" s="1"/>
  <c r="E43" i="5" s="1"/>
  <c r="C21" i="5"/>
  <c r="D21" i="5" s="1"/>
  <c r="E21" i="5" s="1"/>
  <c r="C16" i="5"/>
  <c r="D16" i="5" s="1"/>
  <c r="E16" i="5" s="1"/>
  <c r="C27" i="5"/>
  <c r="D27" i="5" s="1"/>
  <c r="E27" i="5" s="1"/>
  <c r="C14" i="5"/>
  <c r="D14" i="5" s="1"/>
  <c r="E14" i="5" s="1"/>
  <c r="C18" i="5"/>
  <c r="D18" i="5" s="1"/>
  <c r="E18" i="5" s="1"/>
  <c r="C8" i="5"/>
  <c r="D8" i="5" s="1"/>
  <c r="E8" i="5" s="1"/>
  <c r="C6" i="5"/>
  <c r="D6" i="5" s="1"/>
  <c r="E6" i="5" s="1"/>
  <c r="C35" i="5"/>
  <c r="D35" i="5" s="1"/>
  <c r="E35" i="5" s="1"/>
  <c r="C33" i="5"/>
  <c r="D33" i="5" s="1"/>
  <c r="E33" i="5" s="1"/>
  <c r="C24" i="5"/>
  <c r="D24" i="5" s="1"/>
  <c r="E24" i="5" s="1"/>
  <c r="C28" i="5"/>
  <c r="D28" i="5" s="1"/>
  <c r="E28" i="5" s="1"/>
  <c r="C7" i="5"/>
  <c r="D7" i="5" s="1"/>
  <c r="E7" i="5" s="1"/>
  <c r="C23" i="5"/>
  <c r="D23" i="5" s="1"/>
  <c r="E23" i="5" s="1"/>
  <c r="C31" i="5"/>
  <c r="D31" i="5" s="1"/>
  <c r="E31" i="5" s="1"/>
  <c r="C36" i="5"/>
  <c r="D36" i="5" s="1"/>
  <c r="E36" i="5" s="1"/>
  <c r="C9" i="5"/>
  <c r="D9" i="5" s="1"/>
  <c r="E9" i="5" s="1"/>
  <c r="C26" i="5"/>
  <c r="D26" i="5" s="1"/>
  <c r="E26" i="5" s="1"/>
  <c r="C34" i="5"/>
  <c r="D34" i="5" s="1"/>
  <c r="E34" i="5" s="1"/>
  <c r="C12" i="5"/>
  <c r="D12" i="5" s="1"/>
  <c r="E12" i="5" s="1"/>
  <c r="C32" i="5"/>
  <c r="D32" i="5" s="1"/>
  <c r="E32" i="5" s="1"/>
  <c r="C30" i="5"/>
  <c r="D30" i="5" s="1"/>
  <c r="E30" i="5" s="1"/>
  <c r="C19" i="5"/>
  <c r="D19" i="5" s="1"/>
  <c r="E19" i="5" s="1"/>
  <c r="C39" i="5"/>
  <c r="D39" i="5" s="1"/>
  <c r="E39" i="5" s="1"/>
  <c r="C42" i="5"/>
  <c r="D42" i="5" s="1"/>
  <c r="E42" i="5" s="1"/>
  <c r="C45" i="5"/>
  <c r="D45" i="5" s="1"/>
  <c r="E45" i="5" s="1"/>
  <c r="C22" i="5"/>
  <c r="D22" i="5" s="1"/>
  <c r="E22" i="5" s="1"/>
  <c r="D21" i="11"/>
  <c r="C40" i="5"/>
  <c r="D40" i="5" s="1"/>
  <c r="E40" i="5" s="1"/>
  <c r="C17" i="5"/>
  <c r="D17" i="5" s="1"/>
  <c r="E17" i="5" s="1"/>
  <c r="C20" i="5"/>
  <c r="D20" i="5" s="1"/>
  <c r="E20" i="5" s="1"/>
  <c r="C13" i="5"/>
  <c r="D13" i="5" s="1"/>
  <c r="E13" i="5" s="1"/>
  <c r="C38" i="5"/>
  <c r="D38" i="5" s="1"/>
  <c r="E38" i="5" s="1"/>
  <c r="C11" i="5"/>
  <c r="D11" i="5" s="1"/>
  <c r="E11" i="5" s="1"/>
  <c r="C15" i="5"/>
  <c r="D15" i="5" s="1"/>
  <c r="E15" i="5" s="1"/>
  <c r="C25" i="5"/>
  <c r="D25" i="5" s="1"/>
  <c r="E25" i="5" s="1"/>
  <c r="C37" i="5"/>
  <c r="D37" i="5" s="1"/>
  <c r="E37" i="5" s="1"/>
  <c r="C41" i="5"/>
  <c r="D41" i="5" s="1"/>
  <c r="E41" i="5" s="1"/>
  <c r="C44" i="5"/>
  <c r="D44" i="5" s="1"/>
  <c r="E44" i="5" s="1"/>
  <c r="C10" i="5"/>
  <c r="D10" i="5" s="1"/>
  <c r="E10" i="5" s="1"/>
  <c r="C29" i="5"/>
  <c r="D29" i="5" s="1"/>
  <c r="E29" i="5" s="1"/>
  <c r="H7" i="5" l="1"/>
  <c r="H6" i="5"/>
  <c r="H5" i="5"/>
  <c r="I22" i="8"/>
  <c r="J22" i="8" s="1"/>
  <c r="N22" i="8"/>
  <c r="P22" i="8" s="1"/>
  <c r="G24" i="8"/>
  <c r="G70" i="8"/>
  <c r="H70" i="8" s="1"/>
  <c r="I70" i="8" s="1"/>
  <c r="J70" i="8" s="1"/>
  <c r="H23" i="8"/>
  <c r="Q11" i="8"/>
  <c r="U11" i="8" s="1"/>
  <c r="V11" i="8" s="1"/>
  <c r="Q9" i="8"/>
  <c r="U9" i="8" s="1"/>
  <c r="V9" i="8" s="1"/>
  <c r="W9" i="8" s="1"/>
  <c r="Y9" i="8" s="1"/>
  <c r="Q16" i="8"/>
  <c r="U16" i="8" s="1"/>
  <c r="V16" i="8" s="1"/>
  <c r="W16" i="8" s="1"/>
  <c r="Y16" i="8" s="1"/>
  <c r="Q17" i="8"/>
  <c r="U17" i="8" s="1"/>
  <c r="V17" i="8" s="1"/>
  <c r="W17" i="8" s="1"/>
  <c r="Y17" i="8" s="1"/>
  <c r="Q12" i="8"/>
  <c r="U12" i="8" s="1"/>
  <c r="V12" i="8" s="1"/>
  <c r="W12" i="8" s="1"/>
  <c r="Y12" i="8" s="1"/>
  <c r="Q15" i="8"/>
  <c r="U15" i="8" s="1"/>
  <c r="V15" i="8" s="1"/>
  <c r="W15" i="8" s="1"/>
  <c r="Y15" i="8" s="1"/>
  <c r="Q14" i="8"/>
  <c r="U14" i="8" s="1"/>
  <c r="V14" i="8" s="1"/>
  <c r="W14" i="8" s="1"/>
  <c r="Y14" i="8" s="1"/>
  <c r="Q8" i="8"/>
  <c r="U8" i="8" s="1"/>
  <c r="V8" i="8" s="1"/>
  <c r="W8" i="8" s="1"/>
  <c r="Q22" i="8"/>
  <c r="U22" i="8" s="1"/>
  <c r="V22" i="8" s="1"/>
  <c r="W22" i="8" s="1"/>
  <c r="Y22" i="8" s="1"/>
  <c r="Q21" i="8"/>
  <c r="U21" i="8" s="1"/>
  <c r="V21" i="8" s="1"/>
  <c r="W21" i="8" s="1"/>
  <c r="Y21" i="8" s="1"/>
  <c r="Q10" i="8"/>
  <c r="U10" i="8" s="1"/>
  <c r="V10" i="8" s="1"/>
  <c r="W10" i="8" s="1"/>
  <c r="Y10" i="8" s="1"/>
  <c r="Q18" i="8"/>
  <c r="Q13" i="8"/>
  <c r="U13" i="8" s="1"/>
  <c r="V13" i="8" s="1"/>
  <c r="W13" i="8" s="1"/>
  <c r="Y13" i="8" s="1"/>
  <c r="Q19" i="8"/>
  <c r="U19" i="8" s="1"/>
  <c r="V19" i="8" s="1"/>
  <c r="W19" i="8" s="1"/>
  <c r="Y19" i="8" s="1"/>
  <c r="Q20" i="8"/>
  <c r="U20" i="8" s="1"/>
  <c r="V20" i="8" s="1"/>
  <c r="W20" i="8" s="1"/>
  <c r="Y20" i="8" s="1"/>
  <c r="U18" i="8"/>
  <c r="V18" i="8" s="1"/>
  <c r="S27" i="8"/>
  <c r="T27" i="8" s="1"/>
  <c r="I23" i="8" l="1"/>
  <c r="J23" i="8" s="1"/>
  <c r="N23" i="8"/>
  <c r="P23" i="8" s="1"/>
  <c r="Q23" i="8" s="1"/>
  <c r="U23" i="8" s="1"/>
  <c r="V23" i="8" s="1"/>
  <c r="W23" i="8" s="1"/>
  <c r="Y23" i="8" s="1"/>
  <c r="W11" i="8"/>
  <c r="Y11" i="8" s="1"/>
  <c r="G25" i="8"/>
  <c r="G71" i="8"/>
  <c r="H71" i="8" s="1"/>
  <c r="I71" i="8" s="1"/>
  <c r="J71" i="8" s="1"/>
  <c r="H24" i="8"/>
  <c r="W18" i="8"/>
  <c r="Y18" i="8" s="1"/>
  <c r="Y8" i="8"/>
  <c r="S28" i="8"/>
  <c r="T28" i="8" s="1"/>
  <c r="I24" i="8" l="1"/>
  <c r="J24" i="8" s="1"/>
  <c r="N24" i="8"/>
  <c r="P24" i="8" s="1"/>
  <c r="Q24" i="8" s="1"/>
  <c r="U24" i="8" s="1"/>
  <c r="V24" i="8" s="1"/>
  <c r="W24" i="8" s="1"/>
  <c r="Y24" i="8" s="1"/>
  <c r="G26" i="8"/>
  <c r="G72" i="8"/>
  <c r="H72" i="8" s="1"/>
  <c r="I72" i="8" s="1"/>
  <c r="J72" i="8" s="1"/>
  <c r="H25" i="8"/>
  <c r="S29" i="8"/>
  <c r="T29" i="8" s="1"/>
  <c r="I25" i="8" l="1"/>
  <c r="J25" i="8" s="1"/>
  <c r="N25" i="8"/>
  <c r="P25" i="8" s="1"/>
  <c r="Q25" i="8" s="1"/>
  <c r="U25" i="8" s="1"/>
  <c r="V25" i="8" s="1"/>
  <c r="W25" i="8" s="1"/>
  <c r="G27" i="8"/>
  <c r="G73" i="8"/>
  <c r="H73" i="8" s="1"/>
  <c r="I73" i="8" s="1"/>
  <c r="J73" i="8" s="1"/>
  <c r="H26" i="8"/>
  <c r="S30" i="8"/>
  <c r="T30" i="8"/>
  <c r="Y25" i="8" l="1"/>
  <c r="I26" i="8"/>
  <c r="J26" i="8" s="1"/>
  <c r="G28" i="8"/>
  <c r="G74" i="8"/>
  <c r="H74" i="8" s="1"/>
  <c r="I74" i="8" s="1"/>
  <c r="J74" i="8" s="1"/>
  <c r="H27" i="8"/>
  <c r="S31" i="8"/>
  <c r="T31" i="8"/>
  <c r="I27" i="8" l="1"/>
  <c r="J27" i="8" s="1"/>
  <c r="N27" i="8"/>
  <c r="P27" i="8" s="1"/>
  <c r="Q27" i="8" s="1"/>
  <c r="G29" i="8"/>
  <c r="G75" i="8"/>
  <c r="H75" i="8" s="1"/>
  <c r="I75" i="8" s="1"/>
  <c r="J75" i="8" s="1"/>
  <c r="H28" i="8"/>
  <c r="N26" i="8"/>
  <c r="P26" i="8" s="1"/>
  <c r="Q26" i="8" s="1"/>
  <c r="U26" i="8" s="1"/>
  <c r="V26" i="8" s="1"/>
  <c r="W26" i="8" s="1"/>
  <c r="S32" i="8"/>
  <c r="T32" i="8" s="1"/>
  <c r="I28" i="8" l="1"/>
  <c r="J28" i="8" s="1"/>
  <c r="N28" i="8"/>
  <c r="P28" i="8" s="1"/>
  <c r="Q28" i="8" s="1"/>
  <c r="U28" i="8" s="1"/>
  <c r="V28" i="8" s="1"/>
  <c r="W28" i="8" s="1"/>
  <c r="Y28" i="8" s="1"/>
  <c r="G30" i="8"/>
  <c r="G76" i="8"/>
  <c r="H76" i="8" s="1"/>
  <c r="I76" i="8" s="1"/>
  <c r="J76" i="8" s="1"/>
  <c r="H29" i="8"/>
  <c r="Y26" i="8"/>
  <c r="U27" i="8"/>
  <c r="V27" i="8" s="1"/>
  <c r="W27" i="8" s="1"/>
  <c r="Y27" i="8" s="1"/>
  <c r="S33" i="8"/>
  <c r="T33" i="8" s="1"/>
  <c r="I29" i="8" l="1"/>
  <c r="J29" i="8" s="1"/>
  <c r="N29" i="8"/>
  <c r="P29" i="8" s="1"/>
  <c r="Q29" i="8" s="1"/>
  <c r="U29" i="8" s="1"/>
  <c r="V29" i="8" s="1"/>
  <c r="W29" i="8" s="1"/>
  <c r="G31" i="8"/>
  <c r="G77" i="8"/>
  <c r="H77" i="8" s="1"/>
  <c r="I77" i="8" s="1"/>
  <c r="J77" i="8" s="1"/>
  <c r="H30" i="8"/>
  <c r="S34" i="8"/>
  <c r="T34" i="8"/>
  <c r="Y29" i="8" l="1"/>
  <c r="G32" i="8"/>
  <c r="G78" i="8"/>
  <c r="H78" i="8" s="1"/>
  <c r="I78" i="8" s="1"/>
  <c r="J78" i="8" s="1"/>
  <c r="H31" i="8"/>
  <c r="I30" i="8"/>
  <c r="J30" i="8" s="1"/>
  <c r="S35" i="8"/>
  <c r="T35" i="8" s="1"/>
  <c r="I31" i="8" l="1"/>
  <c r="J31" i="8" s="1"/>
  <c r="N31" i="8"/>
  <c r="P31" i="8" s="1"/>
  <c r="Q31" i="8" s="1"/>
  <c r="U31" i="8" s="1"/>
  <c r="V31" i="8" s="1"/>
  <c r="W31" i="8" s="1"/>
  <c r="Y31" i="8" s="1"/>
  <c r="N30" i="8"/>
  <c r="P30" i="8" s="1"/>
  <c r="Q30" i="8" s="1"/>
  <c r="U30" i="8" s="1"/>
  <c r="V30" i="8" s="1"/>
  <c r="W30" i="8" s="1"/>
  <c r="G33" i="8"/>
  <c r="G79" i="8"/>
  <c r="H79" i="8" s="1"/>
  <c r="I79" i="8" s="1"/>
  <c r="J79" i="8" s="1"/>
  <c r="H32" i="8"/>
  <c r="S36" i="8"/>
  <c r="T36" i="8" s="1"/>
  <c r="G34" i="8" l="1"/>
  <c r="G80" i="8"/>
  <c r="H80" i="8" s="1"/>
  <c r="I80" i="8" s="1"/>
  <c r="J80" i="8" s="1"/>
  <c r="H33" i="8"/>
  <c r="Y30" i="8"/>
  <c r="I32" i="8"/>
  <c r="J32" i="8" s="1"/>
  <c r="S37" i="8"/>
  <c r="T37" i="8" s="1"/>
  <c r="N32" i="8" l="1"/>
  <c r="P32" i="8" s="1"/>
  <c r="Q32" i="8" s="1"/>
  <c r="U32" i="8" s="1"/>
  <c r="V32" i="8" s="1"/>
  <c r="W32" i="8" s="1"/>
  <c r="Y32" i="8" s="1"/>
  <c r="I33" i="8"/>
  <c r="J33" i="8" s="1"/>
  <c r="N33" i="8"/>
  <c r="P33" i="8" s="1"/>
  <c r="Q33" i="8" s="1"/>
  <c r="U33" i="8" s="1"/>
  <c r="V33" i="8" s="1"/>
  <c r="W33" i="8" s="1"/>
  <c r="Y33" i="8" s="1"/>
  <c r="G35" i="8"/>
  <c r="G81" i="8"/>
  <c r="H81" i="8" s="1"/>
  <c r="I81" i="8" s="1"/>
  <c r="J81" i="8" s="1"/>
  <c r="H34" i="8"/>
  <c r="S38" i="8"/>
  <c r="T38" i="8" s="1"/>
  <c r="I34" i="8" l="1"/>
  <c r="J34" i="8" s="1"/>
  <c r="N34" i="8"/>
  <c r="P34" i="8" s="1"/>
  <c r="Q34" i="8" s="1"/>
  <c r="U34" i="8" s="1"/>
  <c r="V34" i="8" s="1"/>
  <c r="W34" i="8" s="1"/>
  <c r="Y34" i="8" s="1"/>
  <c r="G36" i="8"/>
  <c r="G82" i="8"/>
  <c r="H82" i="8" s="1"/>
  <c r="I82" i="8" s="1"/>
  <c r="J82" i="8" s="1"/>
  <c r="H35" i="8"/>
  <c r="S39" i="8"/>
  <c r="T39" i="8" s="1"/>
  <c r="I35" i="8" l="1"/>
  <c r="J35" i="8" s="1"/>
  <c r="G37" i="8"/>
  <c r="G83" i="8"/>
  <c r="H83" i="8" s="1"/>
  <c r="I83" i="8" s="1"/>
  <c r="J83" i="8" s="1"/>
  <c r="H36" i="8"/>
  <c r="S40" i="8"/>
  <c r="T40" i="8" s="1"/>
  <c r="N35" i="8" l="1"/>
  <c r="P35" i="8" s="1"/>
  <c r="Q35" i="8" s="1"/>
  <c r="U35" i="8" s="1"/>
  <c r="V35" i="8" s="1"/>
  <c r="W35" i="8" s="1"/>
  <c r="Y35" i="8" s="1"/>
  <c r="I36" i="8"/>
  <c r="J36" i="8" s="1"/>
  <c r="N36" i="8"/>
  <c r="P36" i="8" s="1"/>
  <c r="Q36" i="8" s="1"/>
  <c r="U36" i="8" s="1"/>
  <c r="V36" i="8" s="1"/>
  <c r="W36" i="8" s="1"/>
  <c r="Y36" i="8" s="1"/>
  <c r="G38" i="8"/>
  <c r="G84" i="8"/>
  <c r="H84" i="8" s="1"/>
  <c r="I84" i="8" s="1"/>
  <c r="J84" i="8" s="1"/>
  <c r="H37" i="8"/>
  <c r="S41" i="8"/>
  <c r="T41" i="8" s="1"/>
  <c r="I37" i="8" l="1"/>
  <c r="J37" i="8" s="1"/>
  <c r="N37" i="8"/>
  <c r="P37" i="8" s="1"/>
  <c r="Q37" i="8" s="1"/>
  <c r="U37" i="8" s="1"/>
  <c r="V37" i="8" s="1"/>
  <c r="W37" i="8" s="1"/>
  <c r="Y37" i="8" s="1"/>
  <c r="G39" i="8"/>
  <c r="G85" i="8"/>
  <c r="H85" i="8" s="1"/>
  <c r="I85" i="8" s="1"/>
  <c r="J85" i="8" s="1"/>
  <c r="H38" i="8"/>
  <c r="S42" i="8"/>
  <c r="T42" i="8" s="1"/>
  <c r="I38" i="8" l="1"/>
  <c r="J38" i="8" s="1"/>
  <c r="N38" i="8"/>
  <c r="P38" i="8" s="1"/>
  <c r="Q38" i="8" s="1"/>
  <c r="U38" i="8" s="1"/>
  <c r="V38" i="8" s="1"/>
  <c r="W38" i="8" s="1"/>
  <c r="Y38" i="8" s="1"/>
  <c r="G40" i="8"/>
  <c r="G86" i="8"/>
  <c r="H86" i="8" s="1"/>
  <c r="I86" i="8" s="1"/>
  <c r="J86" i="8" s="1"/>
  <c r="H39" i="8"/>
  <c r="S43" i="8"/>
  <c r="T43" i="8" s="1"/>
  <c r="I39" i="8" l="1"/>
  <c r="J39" i="8" s="1"/>
  <c r="N39" i="8"/>
  <c r="P39" i="8" s="1"/>
  <c r="Q39" i="8" s="1"/>
  <c r="G41" i="8"/>
  <c r="G87" i="8"/>
  <c r="H87" i="8" s="1"/>
  <c r="I87" i="8" s="1"/>
  <c r="J87" i="8" s="1"/>
  <c r="H40" i="8"/>
  <c r="S44" i="8"/>
  <c r="T44" i="8"/>
  <c r="U39" i="8" l="1"/>
  <c r="V39" i="8" s="1"/>
  <c r="W39" i="8" s="1"/>
  <c r="Y39" i="8" s="1"/>
  <c r="I40" i="8"/>
  <c r="J40" i="8" s="1"/>
  <c r="G42" i="8"/>
  <c r="G88" i="8"/>
  <c r="H88" i="8" s="1"/>
  <c r="I88" i="8" s="1"/>
  <c r="J88" i="8" s="1"/>
  <c r="H41" i="8"/>
  <c r="S45" i="8"/>
  <c r="T45" i="8" s="1"/>
  <c r="I41" i="8" l="1"/>
  <c r="J41" i="8" s="1"/>
  <c r="N41" i="8"/>
  <c r="P41" i="8" s="1"/>
  <c r="Q41" i="8" s="1"/>
  <c r="U41" i="8" s="1"/>
  <c r="V41" i="8" s="1"/>
  <c r="W41" i="8" s="1"/>
  <c r="Y41" i="8" s="1"/>
  <c r="G43" i="8"/>
  <c r="G89" i="8"/>
  <c r="H89" i="8" s="1"/>
  <c r="I89" i="8" s="1"/>
  <c r="J89" i="8" s="1"/>
  <c r="H42" i="8"/>
  <c r="N40" i="8"/>
  <c r="P40" i="8" s="1"/>
  <c r="Q40" i="8" s="1"/>
  <c r="S46" i="8"/>
  <c r="T46" i="8"/>
  <c r="U40" i="8" l="1"/>
  <c r="V40" i="8" s="1"/>
  <c r="W40" i="8" s="1"/>
  <c r="Y40" i="8" s="1"/>
  <c r="I42" i="8"/>
  <c r="J42" i="8" s="1"/>
  <c r="G44" i="8"/>
  <c r="G90" i="8"/>
  <c r="H90" i="8" s="1"/>
  <c r="I90" i="8" s="1"/>
  <c r="J90" i="8" s="1"/>
  <c r="H43" i="8"/>
  <c r="S47" i="8"/>
  <c r="T47" i="8" s="1"/>
  <c r="I43" i="8" l="1"/>
  <c r="J43" i="8" s="1"/>
  <c r="N43" i="8"/>
  <c r="P43" i="8" s="1"/>
  <c r="Q43" i="8" s="1"/>
  <c r="U43" i="8" s="1"/>
  <c r="V43" i="8" s="1"/>
  <c r="W43" i="8" s="1"/>
  <c r="Y43" i="8" s="1"/>
  <c r="G45" i="8"/>
  <c r="G91" i="8"/>
  <c r="H91" i="8" s="1"/>
  <c r="I91" i="8" s="1"/>
  <c r="J91" i="8" s="1"/>
  <c r="H44" i="8"/>
  <c r="N42" i="8"/>
  <c r="P42" i="8" s="1"/>
  <c r="Q42" i="8" s="1"/>
  <c r="U42" i="8" s="1"/>
  <c r="V42" i="8" s="1"/>
  <c r="W42" i="8" s="1"/>
  <c r="Y42" i="8" s="1"/>
  <c r="I44" i="8" l="1"/>
  <c r="J44" i="8" s="1"/>
  <c r="N44" i="8"/>
  <c r="P44" i="8" s="1"/>
  <c r="Q44" i="8" s="1"/>
  <c r="U44" i="8" s="1"/>
  <c r="V44" i="8" s="1"/>
  <c r="W44" i="8" s="1"/>
  <c r="Y44" i="8" s="1"/>
  <c r="G46" i="8"/>
  <c r="G92" i="8"/>
  <c r="H92" i="8" s="1"/>
  <c r="I92" i="8" s="1"/>
  <c r="J92" i="8" s="1"/>
  <c r="H45" i="8"/>
  <c r="I45" i="8" l="1"/>
  <c r="J45" i="8" s="1"/>
  <c r="N45" i="8"/>
  <c r="P45" i="8" s="1"/>
  <c r="Q45" i="8" s="1"/>
  <c r="U45" i="8" s="1"/>
  <c r="V45" i="8" s="1"/>
  <c r="W45" i="8" s="1"/>
  <c r="Y45" i="8" s="1"/>
  <c r="G47" i="8"/>
  <c r="G93" i="8"/>
  <c r="H93" i="8" s="1"/>
  <c r="I93" i="8" s="1"/>
  <c r="J93" i="8" s="1"/>
  <c r="H46" i="8"/>
  <c r="I46" i="8" l="1"/>
  <c r="J46" i="8" s="1"/>
  <c r="N46" i="8"/>
  <c r="P46" i="8" s="1"/>
  <c r="Q46" i="8" s="1"/>
  <c r="U46" i="8" s="1"/>
  <c r="V46" i="8" s="1"/>
  <c r="W46" i="8" s="1"/>
  <c r="Y46" i="8" s="1"/>
  <c r="G94" i="8"/>
  <c r="H94" i="8" s="1"/>
  <c r="I94" i="8" s="1"/>
  <c r="J94" i="8" s="1"/>
  <c r="H47" i="8"/>
  <c r="I47" i="8" s="1"/>
  <c r="J47" i="8" s="1"/>
  <c r="P47" i="8" s="1"/>
  <c r="Q47" i="8" s="1"/>
  <c r="U47" i="8" s="1"/>
  <c r="V47" i="8" s="1"/>
  <c r="W47" i="8" s="1"/>
  <c r="Y47" i="8" l="1"/>
  <c r="Z7" i="8" s="1"/>
  <c r="Z8" i="8"/>
  <c r="AA8" i="8" s="1"/>
  <c r="AA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Muchen He</author>
  </authors>
  <commentList>
    <comment ref="H6" authorId="0" shapeId="0" xr:uid="{D5EBA629-432B-FE48-BEDD-00EA8AAE704B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https://ases.conference-services.net/resources/252/2859/pdf/SOLAR2012_0783_full%20paper.pdf</t>
        </r>
      </text>
    </comment>
    <comment ref="I7" authorId="0" shapeId="0" xr:uid="{BAFFC7D8-7834-6C46-AB17-C0DFAE728CF9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https://www.solarpaneltalk.com/forum/solar-power-lighting/solar-lighting-for-homes-and-gardens/14683-lifespan-of-solar-charger-solar-controller-and-battery-agm-sla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52" authorId="0" shapeId="0" xr:uid="{12D4DF5B-590C-440D-A7CB-9C8E4F8B6D5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sharedStrings.xml><?xml version="1.0" encoding="utf-8"?>
<sst xmlns="http://schemas.openxmlformats.org/spreadsheetml/2006/main" count="354" uniqueCount="236">
  <si>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</si>
  <si>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</si>
  <si>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</si>
  <si>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</si>
  <si>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</si>
  <si>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</si>
  <si>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</si>
  <si>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</si>
  <si>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</si>
  <si>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</si>
  <si>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</si>
  <si>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</si>
  <si>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</si>
  <si>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</si>
  <si>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</si>
  <si>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</si>
  <si>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</si>
  <si>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</si>
  <si>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</si>
  <si>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</si>
  <si>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</si>
  <si>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</si>
  <si>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</si>
  <si>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</si>
  <si>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</si>
  <si>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</si>
  <si>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</si>
  <si>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</si>
  <si>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</si>
  <si>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</si>
  <si>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</si>
  <si>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</si>
  <si>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</si>
  <si>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</si>
  <si>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</si>
  <si>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</si>
  <si>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</si>
  <si>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</si>
  <si>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</si>
  <si>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</si>
  <si>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</si>
  <si>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</si>
  <si>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</si>
  <si>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</si>
  <si>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</si>
  <si>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</si>
  <si>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</si>
  <si>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</si>
  <si>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</si>
  <si>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</si>
  <si>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</si>
  <si>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</si>
  <si>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</si>
  <si>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Usually solar warranty of 25 years (free replacement til then)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</si>
  <si>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</si>
  <si>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</si>
  <si>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</si>
  <si>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</si>
  <si>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</si>
  <si>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</si>
  <si>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</si>
  <si>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</si>
  <si>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</si>
  <si>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</si>
  <si>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</si>
  <si>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</si>
  <si>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</si>
  <si>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</si>
  <si>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</si>
  <si>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</si>
  <si>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Usage</t>
  </si>
  <si>
    <t>[kWh]</t>
  </si>
  <si>
    <t>Inflation Rate</t>
  </si>
  <si>
    <t>5 years</t>
  </si>
  <si>
    <t>20 years</t>
  </si>
  <si>
    <t>40 years</t>
  </si>
  <si>
    <t>Off-peak</t>
  </si>
  <si>
    <t>Mid-peak</t>
  </si>
  <si>
    <t>On-peak</t>
  </si>
  <si>
    <t>Sources:</t>
  </si>
  <si>
    <t>https://www.oeb.ca/rates-and-your-bill/electricity-rates/historical-electricity-rates</t>
  </si>
  <si>
    <t>Replacement analysis for the panels as they degrade</t>
  </si>
  <si>
    <t>Use increse in technilogical advantage as added benefit for the challenger EUAC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</si>
  <si>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</si>
  <si>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</si>
  <si>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</si>
  <si>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</si>
  <si>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</si>
  <si>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</si>
  <si>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</si>
  <si>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</si>
  <si>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</si>
  <si>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</si>
  <si>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</si>
  <si>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</si>
  <si>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</si>
  <si>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</si>
  <si>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</si>
  <si>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</si>
  <si>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</si>
  <si>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</si>
  <si>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</si>
  <si>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</si>
  <si>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</si>
  <si>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</si>
  <si>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</si>
  <si>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</si>
  <si>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</si>
  <si>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</si>
  <si>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</si>
  <si>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</si>
  <si>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</si>
  <si>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</si>
  <si>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</si>
  <si>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</si>
  <si>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</si>
  <si>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</si>
  <si>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</si>
  <si>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</si>
  <si>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</si>
  <si>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</si>
  <si>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</si>
  <si>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</si>
  <si>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</si>
  <si>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</si>
  <si>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</si>
  <si>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</si>
  <si>
    <t>Install Configurations</t>
  </si>
  <si>
    <t>Configuration</t>
  </si>
  <si>
    <t>Power</t>
  </si>
  <si>
    <t>[deg]</t>
  </si>
  <si>
    <t>[kW]</t>
  </si>
  <si>
    <t>Components Breakdown</t>
  </si>
  <si>
    <t>Component</t>
  </si>
  <si>
    <t>CCA Class</t>
  </si>
  <si>
    <t>CCA Depreciation</t>
  </si>
  <si>
    <t>Batteries</t>
  </si>
  <si>
    <t>Electrical</t>
  </si>
  <si>
    <t>Mechanical</t>
  </si>
  <si>
    <t>Engineering</t>
  </si>
  <si>
    <t>Labor</t>
  </si>
  <si>
    <t>N/A</t>
  </si>
  <si>
    <t>Roof pitch</t>
  </si>
  <si>
    <t>PV Panel</t>
  </si>
  <si>
    <t>[$/W]</t>
  </si>
  <si>
    <t>[$/Wh]</t>
  </si>
  <si>
    <t>DIY</t>
  </si>
  <si>
    <t>[panels]</t>
  </si>
  <si>
    <t>[W/panel]</t>
  </si>
  <si>
    <t>[W]</t>
  </si>
  <si>
    <t>Configuration A</t>
  </si>
  <si>
    <t>Parts List</t>
  </si>
  <si>
    <t>Qty.</t>
  </si>
  <si>
    <t>CCA class</t>
  </si>
  <si>
    <t>Depreciation</t>
  </si>
  <si>
    <t>Specifications</t>
  </si>
  <si>
    <t>W/panel</t>
  </si>
  <si>
    <t>Cost ea.</t>
  </si>
  <si>
    <t>Charge controller</t>
  </si>
  <si>
    <t>Inverter</t>
  </si>
  <si>
    <t>W</t>
  </si>
  <si>
    <t>Battery</t>
  </si>
  <si>
    <t>Wh/battery</t>
  </si>
  <si>
    <t>Parts</t>
  </si>
  <si>
    <t>Sales tax</t>
  </si>
  <si>
    <t>Tax rate</t>
  </si>
  <si>
    <t>Sales Tax</t>
  </si>
  <si>
    <t>https://www.canada.ca/en/revenue-agency/services/tax/businesses/topics/corporations/corporation-tax-rates.html</t>
  </si>
  <si>
    <t>https://en.wikipedia.org/wiki/Canada_small_business_tax_rate</t>
  </si>
  <si>
    <t>Installation</t>
  </si>
  <si>
    <t>Solar technician sallary</t>
  </si>
  <si>
    <t>per hour</t>
  </si>
  <si>
    <t>https://ca.indeed.com/Solar-Technician-jobs-in-Ontario?vjk=37ca25b9096f3721</t>
  </si>
  <si>
    <t>https://work.chron.com/pay-scale-solar-energy-technician-19567.html</t>
  </si>
  <si>
    <t>Installation time</t>
  </si>
  <si>
    <t>hours</t>
  </si>
  <si>
    <t>Salvage</t>
  </si>
  <si>
    <t>Replacement Period</t>
  </si>
  <si>
    <t>R/A</t>
  </si>
  <si>
    <t>Effective</t>
  </si>
  <si>
    <t>Wattage</t>
  </si>
  <si>
    <t>One Year Power Estimate</t>
  </si>
  <si>
    <t>Generated</t>
  </si>
  <si>
    <t>Wh</t>
  </si>
  <si>
    <t>Solar efficiency</t>
  </si>
  <si>
    <t>Performance degration</t>
  </si>
  <si>
    <t>Failure rate</t>
  </si>
  <si>
    <t>years</t>
  </si>
  <si>
    <t>Government Incentives to reward renewable energy</t>
  </si>
  <si>
    <t>Alberta</t>
  </si>
  <si>
    <t>Edmonton</t>
  </si>
  <si>
    <t>Installation rebates</t>
  </si>
  <si>
    <t>Power payback</t>
  </si>
  <si>
    <t>Power Cost</t>
  </si>
  <si>
    <t>Rebate</t>
  </si>
  <si>
    <t>Maintainance</t>
  </si>
  <si>
    <t>Buyback</t>
  </si>
  <si>
    <t>Benefits</t>
  </si>
  <si>
    <t>Maintanance</t>
  </si>
  <si>
    <t>Lesser of:</t>
  </si>
  <si>
    <t>of installation or</t>
  </si>
  <si>
    <t>Solar</t>
  </si>
  <si>
    <t>Grid</t>
  </si>
  <si>
    <t>UCC Change</t>
  </si>
  <si>
    <t>Taxable Income</t>
  </si>
  <si>
    <t>Book Val.</t>
  </si>
  <si>
    <t>Cashflow</t>
  </si>
  <si>
    <t>Tax</t>
  </si>
  <si>
    <t>Net Profit</t>
  </si>
  <si>
    <t>Tax and Depreciation</t>
  </si>
  <si>
    <t>Relative Benefit</t>
  </si>
  <si>
    <t>[$ nominal]</t>
  </si>
  <si>
    <t>NPV</t>
  </si>
  <si>
    <t>In losses</t>
  </si>
  <si>
    <t>EAUC</t>
  </si>
  <si>
    <t>We can compute the real IRR, then find the market IRR</t>
  </si>
  <si>
    <t>Use panel's lost efficiency as opportunity cost -&gt; marginal cost</t>
  </si>
  <si>
    <t>Assuming efficiency doesn't get better</t>
  </si>
  <si>
    <t>Net CF</t>
  </si>
  <si>
    <t>Loss</t>
  </si>
  <si>
    <t>Lost energy</t>
  </si>
  <si>
    <t>Opp. Cost</t>
  </si>
  <si>
    <t>Replacement Analysis</t>
  </si>
  <si>
    <t>Challenger</t>
  </si>
  <si>
    <t>Defender</t>
  </si>
  <si>
    <t>Lifetime</t>
  </si>
  <si>
    <t>&lt;- lowest</t>
  </si>
  <si>
    <t>EUAC</t>
  </si>
  <si>
    <t>Initial cost</t>
  </si>
  <si>
    <t>Def. Marg. Cost</t>
  </si>
  <si>
    <t>IRR</t>
  </si>
  <si>
    <t>CF</t>
  </si>
  <si>
    <t>PIAZZA STUFF</t>
  </si>
  <si>
    <t>Period</t>
  </si>
  <si>
    <t>ATCF Nominal MARR</t>
  </si>
  <si>
    <t>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</si>
</sst>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%"/>
    <numFmt numFmtId="166" formatCode="0.000%"/>
    <numFmt numFmtId="167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6" fontId="0" fillId="0" borderId="0" xfId="0" applyNumberFormat="1"/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4" fontId="2" fillId="0" borderId="1" xfId="1" applyFon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1" xfId="3" applyNumberFormat="1" applyBorder="1"/>
    <xf numFmtId="0" fontId="2" fillId="0" borderId="6" xfId="0" applyFont="1" applyBorder="1" applyAlignment="1">
      <alignment horizontal="center" vertical="center"/>
    </xf>
    <xf numFmtId="0" fontId="3" fillId="0" borderId="7" xfId="3" applyBorder="1"/>
    <xf numFmtId="164" fontId="3" fillId="0" borderId="5" xfId="3" applyNumberFormat="1" applyBorder="1"/>
    <xf numFmtId="0" fontId="3" fillId="0" borderId="9" xfId="3" applyBorder="1"/>
    <xf numFmtId="164" fontId="3" fillId="0" borderId="0" xfId="3" applyNumberFormat="1" applyBorder="1"/>
    <xf numFmtId="0" fontId="2" fillId="0" borderId="11" xfId="0" applyFont="1" applyBorder="1"/>
    <xf numFmtId="44" fontId="2" fillId="0" borderId="12" xfId="0" applyNumberFormat="1" applyFont="1" applyBorder="1"/>
    <xf numFmtId="0" fontId="0" fillId="0" borderId="9" xfId="0" applyBorder="1"/>
    <xf numFmtId="164" fontId="0" fillId="0" borderId="0" xfId="1" applyFont="1" applyBorder="1"/>
    <xf numFmtId="164" fontId="0" fillId="0" borderId="0" xfId="1" applyNumberFormat="1" applyFont="1" applyBorder="1"/>
    <xf numFmtId="44" fontId="0" fillId="0" borderId="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164" fontId="5" fillId="2" borderId="1" xfId="1" applyFont="1" applyFill="1" applyBorder="1"/>
    <xf numFmtId="44" fontId="5" fillId="2" borderId="1" xfId="0" applyNumberFormat="1" applyFont="1" applyFill="1" applyBorder="1"/>
    <xf numFmtId="164" fontId="4" fillId="2" borderId="2" xfId="1" applyFont="1" applyFill="1" applyBorder="1"/>
    <xf numFmtId="164" fontId="4" fillId="2" borderId="3" xfId="1" applyFont="1" applyFill="1" applyBorder="1"/>
    <xf numFmtId="164" fontId="4" fillId="2" borderId="4" xfId="1" applyFont="1" applyFill="1" applyBorder="1"/>
    <xf numFmtId="0" fontId="2" fillId="0" borderId="0" xfId="0" applyFont="1" applyAlignment="1">
      <alignment horizontal="center" vertical="center"/>
    </xf>
    <xf numFmtId="9" fontId="2" fillId="0" borderId="6" xfId="2" applyFont="1" applyBorder="1"/>
    <xf numFmtId="9" fontId="2" fillId="0" borderId="6" xfId="0" applyNumberFormat="1" applyFont="1" applyBorder="1"/>
    <xf numFmtId="164" fontId="2" fillId="0" borderId="0" xfId="1" applyFont="1"/>
    <xf numFmtId="10" fontId="0" fillId="0" borderId="0" xfId="0" applyNumberFormat="1" applyBorder="1"/>
    <xf numFmtId="0" fontId="0" fillId="0" borderId="10" xfId="0" applyBorder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3" fillId="0" borderId="0" xfId="3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9" fontId="0" fillId="0" borderId="0" xfId="0" applyNumberFormat="1" applyBorder="1"/>
    <xf numFmtId="0" fontId="0" fillId="0" borderId="7" xfId="0" applyBorder="1"/>
    <xf numFmtId="0" fontId="2" fillId="0" borderId="12" xfId="0" applyFont="1" applyBorder="1"/>
    <xf numFmtId="0" fontId="0" fillId="0" borderId="0" xfId="0" applyNumberFormat="1"/>
    <xf numFmtId="0" fontId="0" fillId="0" borderId="0" xfId="0" applyBorder="1"/>
    <xf numFmtId="0" fontId="2" fillId="0" borderId="0" xfId="0" applyFont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6" xfId="0" applyNumberFormat="1" applyBorder="1"/>
    <xf numFmtId="9" fontId="0" fillId="0" borderId="0" xfId="2" applyFont="1"/>
    <xf numFmtId="44" fontId="0" fillId="0" borderId="6" xfId="0" applyNumberFormat="1" applyFont="1" applyBorder="1"/>
    <xf numFmtId="44" fontId="5" fillId="2" borderId="6" xfId="0" applyNumberFormat="1" applyFont="1" applyFill="1" applyBorder="1"/>
    <xf numFmtId="8" fontId="0" fillId="0" borderId="0" xfId="0" applyNumberFormat="1"/>
    <xf numFmtId="0" fontId="0" fillId="0" borderId="1" xfId="0" applyBorder="1"/>
    <xf numFmtId="0" fontId="8" fillId="0" borderId="0" xfId="4"/>
    <xf numFmtId="0" fontId="0" fillId="0" borderId="0" xfId="0" applyFont="1"/>
    <xf numFmtId="9" fontId="1" fillId="0" borderId="0" xfId="2" applyFont="1"/>
    <xf numFmtId="1" fontId="0" fillId="0" borderId="0" xfId="0" applyNumberFormat="1" applyFont="1"/>
    <xf numFmtId="44" fontId="0" fillId="0" borderId="0" xfId="0" applyNumberFormat="1" applyFont="1"/>
    <xf numFmtId="1" fontId="0" fillId="0" borderId="1" xfId="0" applyNumberFormat="1" applyBorder="1"/>
    <xf numFmtId="2" fontId="2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1" fontId="2" fillId="0" borderId="3" xfId="0" applyNumberFormat="1" applyFont="1" applyBorder="1"/>
    <xf numFmtId="164" fontId="2" fillId="0" borderId="3" xfId="0" applyNumberFormat="1" applyFont="1" applyBorder="1"/>
    <xf numFmtId="166" fontId="9" fillId="0" borderId="0" xfId="0" applyNumberFormat="1" applyFont="1"/>
    <xf numFmtId="10" fontId="9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" xfId="2" applyFont="1" applyBorder="1"/>
    <xf numFmtId="9" fontId="0" fillId="0" borderId="1" xfId="0" applyNumberFormat="1" applyBorder="1"/>
    <xf numFmtId="44" fontId="0" fillId="0" borderId="1" xfId="0" applyNumberFormat="1" applyBorder="1"/>
    <xf numFmtId="8" fontId="0" fillId="0" borderId="1" xfId="0" applyNumberFormat="1" applyBorder="1"/>
    <xf numFmtId="9" fontId="0" fillId="0" borderId="3" xfId="2" applyFont="1" applyBorder="1"/>
    <xf numFmtId="9" fontId="0" fillId="0" borderId="3" xfId="0" applyNumberFormat="1" applyBorder="1"/>
    <xf numFmtId="2" fontId="0" fillId="0" borderId="3" xfId="0" applyNumberFormat="1" applyBorder="1"/>
    <xf numFmtId="44" fontId="2" fillId="0" borderId="4" xfId="0" applyNumberFormat="1" applyFont="1" applyBorder="1"/>
    <xf numFmtId="8" fontId="2" fillId="0" borderId="4" xfId="0" applyNumberFormat="1" applyFont="1" applyBorder="1"/>
    <xf numFmtId="10" fontId="2" fillId="0" borderId="0" xfId="0" applyNumberFormat="1" applyFont="1"/>
    <xf numFmtId="167" fontId="0" fillId="0" borderId="0" xfId="1" applyNumberFormat="1" applyFont="1"/>
    <xf numFmtId="4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3" fillId="0" borderId="5" xfId="3" applyNumberFormat="1" applyBorder="1" applyAlignment="1">
      <alignment horizontal="center" vertical="center"/>
    </xf>
    <xf numFmtId="164" fontId="3" fillId="0" borderId="8" xfId="3" applyNumberFormat="1" applyBorder="1" applyAlignment="1">
      <alignment horizontal="center" vertical="center"/>
    </xf>
    <xf numFmtId="164" fontId="3" fillId="0" borderId="0" xfId="3" applyNumberFormat="1" applyBorder="1" applyAlignment="1">
      <alignment horizontal="center" vertical="center"/>
    </xf>
    <xf numFmtId="164" fontId="3" fillId="0" borderId="10" xfId="3" applyNumberForma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1" xfId="1" applyFont="1" applyBorder="1"/>
    <xf numFmtId="0" fontId="2" fillId="0" borderId="1" xfId="0" applyFont="1" applyBorder="1" applyAlignment="1"/>
    <xf numFmtId="0" fontId="2" fillId="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/>
  </cellXfs>
  <cellStyles count="5">
    <cellStyle name="Currency" xfId="1" builtinId="4"/>
    <cellStyle name="Explanatory Text" xfId="3" builtinId="53"/>
    <cellStyle name="Normal" xfId="0" builtinId="0"/>
    <cellStyle name="Percent" xfId="2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Constants!$M$13:$M$19</c:f>
              <c:numCache>
                <c:formatCode>General</c:formatCode>
                <c:ptCount val="7"/>
                <c:pt idx="0">
                  <c:v>90</c:v>
                </c:pt>
                <c:pt idx="1">
                  <c:v>53</c:v>
                </c:pt>
                <c:pt idx="2">
                  <c:v>45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14</c:v>
                </c:pt>
              </c:numCache>
            </c:numRef>
          </c:xVal>
          <c:yVal>
            <c:numRef>
              <c:f>Constants!$N$13:$N$19</c:f>
              <c:numCache>
                <c:formatCode>0.0%</c:formatCode>
                <c:ptCount val="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0.04</c:v>
                </c:pt>
                <c:pt idx="5">
                  <c:v>4.7E-2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B54B-B429-26F143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8687"/>
        <c:axId val="844545663"/>
      </c:scatterChart>
      <c:valAx>
        <c:axId val="860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663"/>
        <c:crosses val="autoZero"/>
        <c:crossBetween val="midCat"/>
      </c:valAx>
      <c:valAx>
        <c:axId val="8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Weather!$C$8:$C$19</c:f>
              <c:numCache>
                <c:formatCode>0.00</c:formatCode>
                <c:ptCount val="12"/>
                <c:pt idx="0">
                  <c:v>219.15</c:v>
                </c:pt>
                <c:pt idx="1">
                  <c:v>238.72</c:v>
                </c:pt>
                <c:pt idx="2">
                  <c:v>292.2</c:v>
                </c:pt>
                <c:pt idx="3">
                  <c:v>365.25</c:v>
                </c:pt>
                <c:pt idx="4">
                  <c:v>438.3</c:v>
                </c:pt>
                <c:pt idx="5">
                  <c:v>491.78</c:v>
                </c:pt>
                <c:pt idx="6">
                  <c:v>511.35</c:v>
                </c:pt>
                <c:pt idx="7">
                  <c:v>491.78</c:v>
                </c:pt>
                <c:pt idx="8">
                  <c:v>438.3</c:v>
                </c:pt>
                <c:pt idx="9">
                  <c:v>365.25</c:v>
                </c:pt>
                <c:pt idx="10">
                  <c:v>292.2</c:v>
                </c:pt>
                <c:pt idx="11">
                  <c:v>238.72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Consumption!$D$9:$D$20</c:f>
              <c:numCache>
                <c:formatCode>0.00</c:formatCode>
                <c:ptCount val="12"/>
                <c:pt idx="0">
                  <c:v>751.57009042842367</c:v>
                </c:pt>
                <c:pt idx="1">
                  <c:v>726.25333333333333</c:v>
                </c:pt>
                <c:pt idx="2">
                  <c:v>691.67</c:v>
                </c:pt>
                <c:pt idx="3">
                  <c:v>657.08666666666659</c:v>
                </c:pt>
                <c:pt idx="4">
                  <c:v>631.76990957157625</c:v>
                </c:pt>
                <c:pt idx="5">
                  <c:v>622.50333333333333</c:v>
                </c:pt>
                <c:pt idx="6">
                  <c:v>631.76990957157625</c:v>
                </c:pt>
                <c:pt idx="7">
                  <c:v>657.08666666666659</c:v>
                </c:pt>
                <c:pt idx="8">
                  <c:v>691.67</c:v>
                </c:pt>
                <c:pt idx="9">
                  <c:v>726.25333333333333</c:v>
                </c:pt>
                <c:pt idx="10">
                  <c:v>751.57009042842367</c:v>
                </c:pt>
                <c:pt idx="11">
                  <c:v>760.83666666666659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491519</xdr:colOff>
      <xdr:row>9</xdr:row>
      <xdr:rowOff>97142</xdr:rowOff>
    </xdr:from>
    <xdr:to>
      <xdr:col>26</xdr:col>
      <xdr:colOff>381000</xdr:colOff>
      <xdr:row>23</xdr:row>
      <xdr:rowOff>125838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A1DA0-E5B1-C04E-A62F-A6D320C7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21</xdr:row>
      <xdr:rowOff>161925</xdr:rowOff>
    </xdr:from>
    <xdr:to>
      <xdr:col>8</xdr:col>
      <xdr:colOff>390525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133350</xdr:rowOff>
    </xdr:from>
    <xdr:to>
      <xdr:col>7</xdr:col>
      <xdr:colOff>361950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15302</xdr:colOff>
      <xdr:row>0</xdr:row>
      <xdr:rowOff>0</xdr:rowOff>
    </xdr:from>
    <xdr:to>
      <xdr:col>17</xdr:col>
      <xdr:colOff>298374</xdr:colOff>
      <xdr:row>3</xdr:row>
      <xdr:rowOff>153013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A9FD0-1C97-A740-963A-D50AEF74164F}"/>
            </a:ext>
          </a:extLst>
        </xdr:cNvPr>
        <xdr:cNvSpPr/>
      </xdr:nvSpPr>
      <xdr:spPr>
        <a:xfrm>
          <a:off x="10022290" y="0"/>
          <a:ext cx="2119217" cy="726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Treating the money saved (compared to doing</a:t>
          </a:r>
          <a:r>
            <a:rPr lang="en-US" sz="1100" baseline="0"/>
            <a:t> nothing) as income (relative benefit)</a:t>
          </a:r>
          <a:endParaRPr lang="en-US" sz="1100"/>
        </a:p>
      </xdr:txBody>
    </xdr:sp>
    <xdr:clientData/>
  </xdr:twoCellAnchor>
  <xdr:twoCellAnchor>
    <xdr:from>
      <xdr:col>9</xdr:col>
      <xdr:colOff>657225</xdr:colOff>
      <xdr:row>80</xdr:row>
      <xdr:rowOff>0</xdr:rowOff>
    </xdr:from>
    <xdr:to>
      <xdr:col>11</xdr:col>
      <xdr:colOff>123825</xdr:colOff>
      <xdr:row>83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89458F5-3DFB-4922-8800-DDABF57AFC62}"/>
            </a:ext>
          </a:extLst>
        </xdr:cNvPr>
        <xdr:cNvCxnSpPr/>
      </xdr:nvCxnSpPr>
      <xdr:spPr>
        <a:xfrm flipH="1" flipV="1">
          <a:off x="6343650" y="15240000"/>
          <a:ext cx="93345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sheetPr>
    <tabColor rgb="FF0070C0"/>
  </sheetPr>
  <dimension ref="B2:V36"/>
  <sheetViews>
    <sheetView topLeftCell="A16" zoomScale="131" workbookViewId="0">
      <selection activeCell="C29" sqref="C29"/>
    </sheetView>
  </sheetViews>
  <sheetFormatPr defaultColWidth="8.85546875"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42578125" bestFit="1" customWidth="1"/>
    <col min="19" max="19" width="11.42578125" bestFit="1" customWidth="1"/>
  </cols>
  <sheetData>
    <row r="2" spans="2:14" x14ac:dyDescent="0.25">
      <c r="C2" s="1" t="s">
        <v>2</v>
      </c>
    </row>
    <row r="3" spans="2:14" x14ac:dyDescent="0.25">
      <c r="C3" s="1" t="s">
        <v>0</v>
      </c>
      <c r="D3">
        <v>22.7</v>
      </c>
      <c r="E3" t="s">
        <v>1</v>
      </c>
    </row>
    <row r="4" spans="2:14" x14ac:dyDescent="0.25">
      <c r="C4" s="1" t="s">
        <v>36</v>
      </c>
      <c r="D4">
        <v>10</v>
      </c>
      <c r="E4" t="s">
        <v>37</v>
      </c>
    </row>
    <row r="5" spans="2:14" x14ac:dyDescent="0.25">
      <c r="C5" s="1" t="s">
        <v>142</v>
      </c>
      <c r="D5">
        <v>35</v>
      </c>
      <c r="E5" t="s">
        <v>61</v>
      </c>
    </row>
    <row r="7" spans="2:14" x14ac:dyDescent="0.25">
      <c r="C7" s="1" t="s">
        <v>3</v>
      </c>
    </row>
    <row r="8" spans="2:14" x14ac:dyDescent="0.25">
      <c r="B8" s="1" t="s">
        <v>10</v>
      </c>
      <c r="C8" s="1" t="s">
        <v>11</v>
      </c>
      <c r="D8" s="109" t="s">
        <v>12</v>
      </c>
      <c r="E8" s="109"/>
      <c r="F8" s="109" t="s">
        <v>14</v>
      </c>
      <c r="G8" s="109"/>
      <c r="H8" s="109" t="s">
        <v>13</v>
      </c>
      <c r="I8" s="109"/>
      <c r="J8" s="109" t="s">
        <v>15</v>
      </c>
      <c r="K8" s="109"/>
    </row>
    <row r="9" spans="2:14" x14ac:dyDescent="0.25">
      <c r="B9" s="108" t="s">
        <v>4</v>
      </c>
      <c r="C9" t="s">
        <v>5</v>
      </c>
      <c r="D9" s="2">
        <v>1.5</v>
      </c>
      <c r="E9" t="s">
        <v>8</v>
      </c>
      <c r="F9" s="2">
        <v>0</v>
      </c>
      <c r="G9" t="s">
        <v>8</v>
      </c>
      <c r="H9">
        <v>100</v>
      </c>
      <c r="I9" t="s">
        <v>9</v>
      </c>
      <c r="J9">
        <v>43</v>
      </c>
      <c r="K9" s="3">
        <v>0.3</v>
      </c>
    </row>
    <row r="10" spans="2:14" x14ac:dyDescent="0.25">
      <c r="B10" s="108"/>
      <c r="C10" t="s">
        <v>6</v>
      </c>
      <c r="D10" s="2">
        <v>1.75</v>
      </c>
      <c r="E10" t="s">
        <v>8</v>
      </c>
      <c r="F10" s="2">
        <v>0</v>
      </c>
      <c r="G10" t="s">
        <v>8</v>
      </c>
      <c r="H10">
        <v>200</v>
      </c>
      <c r="I10" t="s">
        <v>9</v>
      </c>
      <c r="J10">
        <v>43</v>
      </c>
      <c r="K10" s="3">
        <v>0.3</v>
      </c>
    </row>
    <row r="11" spans="2:14" x14ac:dyDescent="0.25">
      <c r="B11" s="108"/>
      <c r="C11" t="s">
        <v>7</v>
      </c>
      <c r="D11" s="2">
        <v>2</v>
      </c>
      <c r="E11" t="s">
        <v>8</v>
      </c>
      <c r="F11" s="2">
        <v>0</v>
      </c>
      <c r="G11" t="s">
        <v>8</v>
      </c>
      <c r="H11">
        <v>300</v>
      </c>
      <c r="I11" t="s">
        <v>9</v>
      </c>
      <c r="J11">
        <v>43</v>
      </c>
      <c r="K11" s="3">
        <v>0.3</v>
      </c>
      <c r="M11" t="s">
        <v>18</v>
      </c>
    </row>
    <row r="12" spans="2:14" x14ac:dyDescent="0.25">
      <c r="B12" t="s">
        <v>16</v>
      </c>
      <c r="C12" t="s">
        <v>29</v>
      </c>
      <c r="E12" t="s">
        <v>17</v>
      </c>
      <c r="M12" t="s">
        <v>19</v>
      </c>
      <c r="N12" t="s">
        <v>20</v>
      </c>
    </row>
    <row r="13" spans="2:14" x14ac:dyDescent="0.25">
      <c r="C13" t="s">
        <v>30</v>
      </c>
      <c r="M13">
        <v>90</v>
      </c>
      <c r="N13" s="4">
        <v>0</v>
      </c>
    </row>
    <row r="14" spans="2:14" x14ac:dyDescent="0.25">
      <c r="M14">
        <v>53</v>
      </c>
      <c r="N14" s="4">
        <v>8.0000000000000002E-3</v>
      </c>
    </row>
    <row r="15" spans="2:14" x14ac:dyDescent="0.25">
      <c r="C15" t="s">
        <v>51</v>
      </c>
      <c r="D15">
        <v>12</v>
      </c>
      <c r="E15" t="s">
        <v>52</v>
      </c>
      <c r="M15">
        <v>45</v>
      </c>
      <c r="N15" s="4">
        <v>1.7000000000000001E-2</v>
      </c>
    </row>
    <row r="16" spans="2:14" x14ac:dyDescent="0.25">
      <c r="M16">
        <v>35</v>
      </c>
      <c r="N16" s="4">
        <v>0.03</v>
      </c>
    </row>
    <row r="17" spans="3:22" x14ac:dyDescent="0.25">
      <c r="C17" t="s">
        <v>185</v>
      </c>
      <c r="D17" s="5">
        <v>5.0000000000000001E-3</v>
      </c>
      <c r="E17" t="s">
        <v>100</v>
      </c>
      <c r="M17">
        <v>27</v>
      </c>
      <c r="N17" s="4">
        <v>0.04</v>
      </c>
    </row>
    <row r="18" spans="3:22" x14ac:dyDescent="0.25">
      <c r="C18" t="s">
        <v>186</v>
      </c>
      <c r="D18" s="5">
        <v>5.0000000000000001E-4</v>
      </c>
      <c r="E18" t="s">
        <v>100</v>
      </c>
      <c r="F18" t="s">
        <v>53</v>
      </c>
      <c r="M18">
        <v>18</v>
      </c>
      <c r="N18" s="4">
        <v>4.7E-2</v>
      </c>
    </row>
    <row r="19" spans="3:22" x14ac:dyDescent="0.25">
      <c r="D19">
        <v>400</v>
      </c>
      <c r="E19" t="s">
        <v>187</v>
      </c>
      <c r="M19">
        <v>14</v>
      </c>
      <c r="N19" s="4">
        <v>4.4999999999999998E-2</v>
      </c>
    </row>
    <row r="21" spans="3:22" x14ac:dyDescent="0.25">
      <c r="M21" t="s">
        <v>21</v>
      </c>
    </row>
    <row r="22" spans="3:22" x14ac:dyDescent="0.25">
      <c r="M22" t="s">
        <v>22</v>
      </c>
      <c r="N22" t="s">
        <v>20</v>
      </c>
    </row>
    <row r="23" spans="3:22" x14ac:dyDescent="0.25">
      <c r="M23" t="s">
        <v>23</v>
      </c>
      <c r="N23" s="3">
        <v>0.02</v>
      </c>
      <c r="P23" t="s">
        <v>26</v>
      </c>
    </row>
    <row r="24" spans="3:22" x14ac:dyDescent="0.25">
      <c r="M24" t="s">
        <v>24</v>
      </c>
      <c r="N24" s="3">
        <v>0.05</v>
      </c>
      <c r="P24" t="s">
        <v>27</v>
      </c>
    </row>
    <row r="25" spans="3:22" x14ac:dyDescent="0.25">
      <c r="M25" t="s">
        <v>25</v>
      </c>
      <c r="N25" s="3">
        <v>0.1</v>
      </c>
    </row>
    <row r="26" spans="3:22" x14ac:dyDescent="0.25">
      <c r="M26" t="s">
        <v>28</v>
      </c>
      <c r="N26" s="2">
        <v>10</v>
      </c>
      <c r="O26" t="s">
        <v>17</v>
      </c>
    </row>
    <row r="27" spans="3:22" x14ac:dyDescent="0.25">
      <c r="C27" t="s">
        <v>72</v>
      </c>
      <c r="D27" s="4">
        <v>0.02</v>
      </c>
    </row>
    <row r="28" spans="3:22" x14ac:dyDescent="0.25">
      <c r="C28" t="s">
        <v>234</v>
      </c>
      <c r="D28" s="4">
        <v>0.03</v>
      </c>
    </row>
    <row r="29" spans="3:22" x14ac:dyDescent="0.25">
      <c r="D29" t="s">
        <v>66</v>
      </c>
      <c r="M29" t="s">
        <v>84</v>
      </c>
      <c r="S29" s="2">
        <v>10000</v>
      </c>
      <c r="T29" t="s">
        <v>90</v>
      </c>
      <c r="U29" s="9">
        <f>(S30-S29)/2</f>
        <v>3000</v>
      </c>
      <c r="V29" t="s">
        <v>92</v>
      </c>
    </row>
    <row r="30" spans="3:22" x14ac:dyDescent="0.25">
      <c r="C30" t="s">
        <v>165</v>
      </c>
      <c r="D30" s="3">
        <v>0.1</v>
      </c>
      <c r="E30" t="s">
        <v>167</v>
      </c>
      <c r="F30" t="s">
        <v>168</v>
      </c>
      <c r="M30" t="s">
        <v>35</v>
      </c>
      <c r="S30" s="2">
        <v>16000</v>
      </c>
      <c r="T30" t="s">
        <v>91</v>
      </c>
    </row>
    <row r="31" spans="3:22" x14ac:dyDescent="0.25">
      <c r="C31" t="s">
        <v>166</v>
      </c>
      <c r="D31" s="3">
        <v>0.05</v>
      </c>
      <c r="M31" t="s">
        <v>85</v>
      </c>
      <c r="N31" s="3">
        <v>0.35</v>
      </c>
      <c r="S31" s="2">
        <v>46000</v>
      </c>
      <c r="T31" t="s">
        <v>93</v>
      </c>
    </row>
    <row r="32" spans="3:22" x14ac:dyDescent="0.25">
      <c r="M32" t="s">
        <v>86</v>
      </c>
      <c r="N32" s="3">
        <v>0.2</v>
      </c>
    </row>
    <row r="33" spans="3:14" x14ac:dyDescent="0.25">
      <c r="C33" t="s">
        <v>170</v>
      </c>
      <c r="D33" s="9">
        <v>24</v>
      </c>
      <c r="E33" t="s">
        <v>171</v>
      </c>
      <c r="F33" t="s">
        <v>172</v>
      </c>
      <c r="M33" t="s">
        <v>87</v>
      </c>
      <c r="N33" s="3">
        <v>0.23</v>
      </c>
    </row>
    <row r="34" spans="3:14" x14ac:dyDescent="0.25">
      <c r="F34" t="s">
        <v>173</v>
      </c>
      <c r="M34" t="s">
        <v>88</v>
      </c>
      <c r="N34" s="3">
        <v>0.04</v>
      </c>
    </row>
    <row r="35" spans="3:14" x14ac:dyDescent="0.25">
      <c r="M35" t="s">
        <v>89</v>
      </c>
      <c r="N35" s="3">
        <v>0.02</v>
      </c>
    </row>
    <row r="36" spans="3:14" x14ac:dyDescent="0.25">
      <c r="N36" s="3"/>
    </row>
  </sheetData>
  <mergeCells count="5">
    <mergeCell ref="B9:B11"/>
    <mergeCell ref="D8:E8"/>
    <mergeCell ref="F8:G8"/>
    <mergeCell ref="H8:I8"/>
    <mergeCell ref="J8:K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F29A-4B3C-A647-BCD6-35C92BF0477F}">
  <sheetPr>
    <tabColor theme="5" tint="-0.499984740745262"/>
  </sheetPr>
  <dimension ref="B3:R8"/>
  <sheetViews>
    <sheetView zoomScale="140" zoomScaleNormal="140" workbookViewId="0">
      <selection activeCell="O7" sqref="O7"/>
    </sheetView>
  </sheetViews>
  <sheetFormatPr defaultColWidth="11.42578125" defaultRowHeight="15" x14ac:dyDescent="0.25"/>
  <cols>
    <col min="6" max="6" width="1" customWidth="1"/>
    <col min="7" max="7" width="13.140625" bestFit="1" customWidth="1"/>
    <col min="8" max="8" width="7.42578125" bestFit="1" customWidth="1"/>
    <col min="9" max="9" width="9.28515625" bestFit="1" customWidth="1"/>
  </cols>
  <sheetData>
    <row r="3" spans="2:18" x14ac:dyDescent="0.25">
      <c r="B3" s="135" t="s">
        <v>127</v>
      </c>
      <c r="C3" s="135"/>
      <c r="D3" s="135"/>
      <c r="E3" s="135"/>
      <c r="F3" s="70"/>
      <c r="G3" s="135" t="s">
        <v>132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</row>
    <row r="4" spans="2:18" x14ac:dyDescent="0.25">
      <c r="B4" s="132" t="s">
        <v>128</v>
      </c>
      <c r="C4" s="132" t="s">
        <v>19</v>
      </c>
      <c r="D4" s="132" t="s">
        <v>129</v>
      </c>
      <c r="E4" s="132" t="s">
        <v>12</v>
      </c>
      <c r="F4" s="16"/>
      <c r="G4" s="12" t="s">
        <v>133</v>
      </c>
      <c r="H4" s="110" t="s">
        <v>143</v>
      </c>
      <c r="I4" s="110"/>
      <c r="J4" s="110"/>
      <c r="K4" s="110" t="s">
        <v>86</v>
      </c>
      <c r="L4" s="110"/>
      <c r="M4" s="12" t="s">
        <v>136</v>
      </c>
      <c r="N4" s="12" t="s">
        <v>137</v>
      </c>
      <c r="O4" s="12" t="s">
        <v>138</v>
      </c>
      <c r="P4" s="12" t="s">
        <v>139</v>
      </c>
      <c r="Q4" s="12" t="s">
        <v>89</v>
      </c>
      <c r="R4" s="12" t="s">
        <v>140</v>
      </c>
    </row>
    <row r="5" spans="2:18" x14ac:dyDescent="0.25">
      <c r="B5" s="132"/>
      <c r="C5" s="132"/>
      <c r="D5" s="132"/>
      <c r="E5" s="132"/>
      <c r="F5" s="16"/>
      <c r="G5" s="69" t="s">
        <v>134</v>
      </c>
      <c r="H5" s="136">
        <v>43</v>
      </c>
      <c r="I5" s="136"/>
      <c r="J5" s="136"/>
      <c r="K5" s="136">
        <v>43</v>
      </c>
      <c r="L5" s="136"/>
      <c r="M5" s="60"/>
      <c r="N5" s="60"/>
      <c r="O5" s="60"/>
      <c r="P5" s="69"/>
      <c r="Q5" s="69" t="s">
        <v>141</v>
      </c>
      <c r="R5" s="69" t="s">
        <v>141</v>
      </c>
    </row>
    <row r="6" spans="2:18" x14ac:dyDescent="0.25">
      <c r="B6" s="132"/>
      <c r="C6" s="132"/>
      <c r="D6" s="132"/>
      <c r="E6" s="132"/>
      <c r="F6" s="16"/>
      <c r="G6" s="69" t="s">
        <v>135</v>
      </c>
      <c r="H6" s="137">
        <v>0.3</v>
      </c>
      <c r="I6" s="137"/>
      <c r="J6" s="137"/>
      <c r="K6" s="137">
        <v>0.3</v>
      </c>
      <c r="L6" s="137"/>
      <c r="M6" s="69"/>
      <c r="N6" s="69"/>
      <c r="O6" s="69"/>
      <c r="P6" s="69"/>
      <c r="Q6" s="69" t="s">
        <v>141</v>
      </c>
      <c r="R6" s="69" t="s">
        <v>141</v>
      </c>
    </row>
    <row r="7" spans="2:18" s="15" customFormat="1" x14ac:dyDescent="0.25">
      <c r="B7" s="110"/>
      <c r="C7" s="17" t="s">
        <v>130</v>
      </c>
      <c r="D7" s="17" t="s">
        <v>131</v>
      </c>
      <c r="E7" s="17" t="s">
        <v>68</v>
      </c>
      <c r="F7" s="17"/>
      <c r="G7" s="17"/>
      <c r="H7" s="17" t="s">
        <v>147</v>
      </c>
      <c r="I7" s="17" t="s">
        <v>148</v>
      </c>
      <c r="J7" s="17" t="s">
        <v>144</v>
      </c>
      <c r="K7" s="17" t="s">
        <v>149</v>
      </c>
      <c r="L7" s="17" t="s">
        <v>144</v>
      </c>
      <c r="M7" s="17" t="s">
        <v>145</v>
      </c>
      <c r="N7" s="17" t="s">
        <v>68</v>
      </c>
      <c r="O7" s="17" t="s">
        <v>68</v>
      </c>
      <c r="P7" s="17" t="s">
        <v>68</v>
      </c>
      <c r="Q7" s="17" t="s">
        <v>68</v>
      </c>
      <c r="R7" s="17" t="s">
        <v>68</v>
      </c>
    </row>
    <row r="8" spans="2:18" x14ac:dyDescent="0.25">
      <c r="B8" t="s">
        <v>146</v>
      </c>
      <c r="C8">
        <v>35</v>
      </c>
      <c r="D8">
        <f>H8*I8</f>
        <v>400</v>
      </c>
      <c r="E8" s="8">
        <f>H8*I8*J8</f>
        <v>952</v>
      </c>
      <c r="F8" s="8"/>
      <c r="H8">
        <v>4</v>
      </c>
      <c r="I8">
        <v>100</v>
      </c>
      <c r="J8" s="2">
        <v>2.38</v>
      </c>
      <c r="K8" s="2"/>
      <c r="M8">
        <v>0</v>
      </c>
    </row>
  </sheetData>
  <mergeCells count="12">
    <mergeCell ref="B3:E3"/>
    <mergeCell ref="G3:R3"/>
    <mergeCell ref="H4:J4"/>
    <mergeCell ref="H5:J5"/>
    <mergeCell ref="H6:J6"/>
    <mergeCell ref="K5:L5"/>
    <mergeCell ref="K4:L4"/>
    <mergeCell ref="K6:L6"/>
    <mergeCell ref="B4:B7"/>
    <mergeCell ref="C4:C6"/>
    <mergeCell ref="D4:D6"/>
    <mergeCell ref="E4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011E-AA07-F244-AC55-252F3D3057F7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topLeftCell="A15" workbookViewId="0">
      <selection activeCell="B28" sqref="B28"/>
    </sheetView>
  </sheetViews>
  <sheetFormatPr defaultColWidth="8.85546875" defaultRowHeight="15" x14ac:dyDescent="0.25"/>
  <sheetData>
    <row r="1" spans="1:2" x14ac:dyDescent="0.25">
      <c r="A1" t="s">
        <v>31</v>
      </c>
    </row>
    <row r="2" spans="1:2" x14ac:dyDescent="0.25">
      <c r="A2" t="s">
        <v>32</v>
      </c>
      <c r="B2" t="s">
        <v>33</v>
      </c>
    </row>
    <row r="3" spans="1:2" x14ac:dyDescent="0.25">
      <c r="B3" t="s">
        <v>34</v>
      </c>
    </row>
    <row r="5" spans="1:2" x14ac:dyDescent="0.25">
      <c r="B5" t="s">
        <v>35</v>
      </c>
    </row>
    <row r="7" spans="1:2" x14ac:dyDescent="0.25">
      <c r="B7" t="s">
        <v>38</v>
      </c>
    </row>
    <row r="8" spans="1:2" x14ac:dyDescent="0.25">
      <c r="B8" t="s">
        <v>39</v>
      </c>
    </row>
    <row r="10" spans="1:2" x14ac:dyDescent="0.25">
      <c r="B10" t="s">
        <v>40</v>
      </c>
    </row>
    <row r="11" spans="1:2" x14ac:dyDescent="0.25">
      <c r="B11" t="s">
        <v>41</v>
      </c>
    </row>
    <row r="13" spans="1:2" x14ac:dyDescent="0.25">
      <c r="B13" t="s">
        <v>42</v>
      </c>
    </row>
    <row r="14" spans="1:2" x14ac:dyDescent="0.25">
      <c r="B14" t="s">
        <v>43</v>
      </c>
    </row>
    <row r="15" spans="1:2" x14ac:dyDescent="0.25">
      <c r="B15" t="s">
        <v>44</v>
      </c>
    </row>
    <row r="16" spans="1:2" x14ac:dyDescent="0.25">
      <c r="B16" t="s">
        <v>45</v>
      </c>
    </row>
    <row r="17" spans="2:12" x14ac:dyDescent="0.25">
      <c r="B17" t="s">
        <v>46</v>
      </c>
    </row>
    <row r="18" spans="2:12" x14ac:dyDescent="0.25">
      <c r="B18" t="s">
        <v>47</v>
      </c>
    </row>
    <row r="20" spans="2:12" x14ac:dyDescent="0.25">
      <c r="B20" t="s">
        <v>49</v>
      </c>
    </row>
    <row r="21" spans="2:12" x14ac:dyDescent="0.25">
      <c r="B21" t="s">
        <v>48</v>
      </c>
      <c r="H21" t="s">
        <v>50</v>
      </c>
    </row>
    <row r="23" spans="2:12" x14ac:dyDescent="0.25">
      <c r="B23" t="s">
        <v>54</v>
      </c>
    </row>
    <row r="24" spans="2:12" x14ac:dyDescent="0.25">
      <c r="B24" t="s">
        <v>55</v>
      </c>
      <c r="J24">
        <v>2018</v>
      </c>
      <c r="K24">
        <v>2008</v>
      </c>
      <c r="L24" t="s">
        <v>59</v>
      </c>
    </row>
    <row r="25" spans="2:12" x14ac:dyDescent="0.25">
      <c r="B25" t="s">
        <v>58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56</v>
      </c>
      <c r="J27">
        <v>2018</v>
      </c>
      <c r="K27" s="5">
        <v>0.35499999999999998</v>
      </c>
    </row>
    <row r="28" spans="2:12" x14ac:dyDescent="0.25">
      <c r="B28" t="s">
        <v>57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A65-7B3D-E248-900D-85B6D1E63997}">
  <sheetPr>
    <tabColor rgb="FF00B0F0"/>
  </sheetPr>
  <dimension ref="B2:K19"/>
  <sheetViews>
    <sheetView topLeftCell="A4" zoomScale="170" zoomScaleNormal="170" workbookViewId="0">
      <selection activeCell="D28" sqref="D28"/>
    </sheetView>
  </sheetViews>
  <sheetFormatPr defaultColWidth="11.42578125" defaultRowHeight="15" x14ac:dyDescent="0.25"/>
  <cols>
    <col min="2" max="2" width="14.28515625" bestFit="1" customWidth="1"/>
    <col min="8" max="8" width="7.7109375" bestFit="1" customWidth="1"/>
    <col min="9" max="9" width="17.140625" bestFit="1" customWidth="1"/>
  </cols>
  <sheetData>
    <row r="2" spans="2:11" x14ac:dyDescent="0.25">
      <c r="B2" t="s">
        <v>150</v>
      </c>
    </row>
    <row r="3" spans="2:11" x14ac:dyDescent="0.25">
      <c r="B3" t="s">
        <v>146</v>
      </c>
    </row>
    <row r="4" spans="2:11" x14ac:dyDescent="0.25">
      <c r="B4" s="109" t="s">
        <v>151</v>
      </c>
      <c r="C4" s="109"/>
      <c r="D4" s="109"/>
      <c r="E4" s="109"/>
      <c r="F4" s="109"/>
      <c r="G4" s="109"/>
      <c r="H4" s="109"/>
      <c r="I4" s="109"/>
      <c r="J4" s="109"/>
      <c r="K4" s="109"/>
    </row>
    <row r="5" spans="2:11" x14ac:dyDescent="0.25">
      <c r="B5" s="12" t="s">
        <v>11</v>
      </c>
      <c r="C5" s="12" t="s">
        <v>152</v>
      </c>
      <c r="D5" s="12" t="s">
        <v>157</v>
      </c>
      <c r="E5" s="12" t="s">
        <v>12</v>
      </c>
      <c r="F5" s="12" t="s">
        <v>153</v>
      </c>
      <c r="G5" s="12" t="s">
        <v>154</v>
      </c>
      <c r="H5" s="12" t="s">
        <v>176</v>
      </c>
      <c r="I5" s="12" t="s">
        <v>177</v>
      </c>
      <c r="J5" s="110" t="s">
        <v>155</v>
      </c>
      <c r="K5" s="110"/>
    </row>
    <row r="6" spans="2:11" x14ac:dyDescent="0.25">
      <c r="B6" t="s">
        <v>85</v>
      </c>
      <c r="C6">
        <v>4</v>
      </c>
      <c r="D6" s="2">
        <v>238</v>
      </c>
      <c r="E6" s="2">
        <f>D6*C6</f>
        <v>952</v>
      </c>
      <c r="F6">
        <v>43</v>
      </c>
      <c r="G6" s="3">
        <v>0.3</v>
      </c>
      <c r="H6" s="2">
        <v>30</v>
      </c>
      <c r="I6" s="3" t="s">
        <v>178</v>
      </c>
      <c r="J6">
        <v>100</v>
      </c>
      <c r="K6" t="s">
        <v>156</v>
      </c>
    </row>
    <row r="7" spans="2:11" x14ac:dyDescent="0.25">
      <c r="B7" t="s">
        <v>158</v>
      </c>
      <c r="C7">
        <v>1</v>
      </c>
      <c r="D7" s="2">
        <v>150</v>
      </c>
      <c r="E7" s="2">
        <f t="shared" ref="E7:E9" si="0">D7*C7</f>
        <v>150</v>
      </c>
      <c r="F7">
        <v>43</v>
      </c>
      <c r="G7" s="3">
        <v>0.3</v>
      </c>
      <c r="H7" s="2">
        <v>0</v>
      </c>
      <c r="I7" s="68">
        <v>5</v>
      </c>
    </row>
    <row r="8" spans="2:11" x14ac:dyDescent="0.25">
      <c r="B8" t="s">
        <v>159</v>
      </c>
      <c r="C8">
        <v>1</v>
      </c>
      <c r="D8" s="2">
        <v>539.5</v>
      </c>
      <c r="E8" s="2">
        <f t="shared" si="0"/>
        <v>539.5</v>
      </c>
      <c r="F8">
        <v>43</v>
      </c>
      <c r="G8" s="3">
        <v>0.3</v>
      </c>
      <c r="H8" s="2">
        <v>0</v>
      </c>
      <c r="I8" s="68">
        <v>5</v>
      </c>
      <c r="J8">
        <v>1800</v>
      </c>
      <c r="K8" t="s">
        <v>160</v>
      </c>
    </row>
    <row r="9" spans="2:11" x14ac:dyDescent="0.25">
      <c r="B9" t="s">
        <v>161</v>
      </c>
      <c r="C9">
        <v>8</v>
      </c>
      <c r="D9" s="2">
        <v>26</v>
      </c>
      <c r="E9" s="2">
        <f t="shared" si="0"/>
        <v>208</v>
      </c>
      <c r="F9">
        <v>43</v>
      </c>
      <c r="G9" s="3">
        <v>0.3</v>
      </c>
      <c r="H9" s="2">
        <v>0</v>
      </c>
      <c r="I9" s="68">
        <v>5</v>
      </c>
      <c r="J9">
        <v>96</v>
      </c>
      <c r="K9" t="s">
        <v>162</v>
      </c>
    </row>
    <row r="11" spans="2:11" x14ac:dyDescent="0.25">
      <c r="B11" s="109" t="s">
        <v>169</v>
      </c>
      <c r="C11" s="109"/>
      <c r="F11" t="s">
        <v>198</v>
      </c>
      <c r="G11" s="8">
        <f>E7+E8+E9</f>
        <v>897.5</v>
      </c>
    </row>
    <row r="12" spans="2:11" x14ac:dyDescent="0.25">
      <c r="B12" s="1" t="s">
        <v>174</v>
      </c>
      <c r="C12">
        <v>3</v>
      </c>
      <c r="D12" t="s">
        <v>175</v>
      </c>
      <c r="F12" t="s">
        <v>176</v>
      </c>
      <c r="G12" s="8">
        <f>C6*H6</f>
        <v>120</v>
      </c>
    </row>
    <row r="13" spans="2:11" x14ac:dyDescent="0.25">
      <c r="B13" t="s">
        <v>163</v>
      </c>
      <c r="C13" s="7">
        <f>SUM(E6:E9)</f>
        <v>1849.5</v>
      </c>
    </row>
    <row r="14" spans="2:11" x14ac:dyDescent="0.25">
      <c r="B14" t="s">
        <v>164</v>
      </c>
      <c r="C14" s="8">
        <f>C13*Constants!$D$31</f>
        <v>92.475000000000009</v>
      </c>
    </row>
    <row r="15" spans="2:11" x14ac:dyDescent="0.25">
      <c r="B15" t="s">
        <v>169</v>
      </c>
      <c r="C15" s="2">
        <f>C12*Constants!$D$33</f>
        <v>72</v>
      </c>
    </row>
    <row r="16" spans="2:11" x14ac:dyDescent="0.25">
      <c r="B16" s="1" t="s">
        <v>98</v>
      </c>
      <c r="C16" s="53">
        <f>SUM(C13:C15)</f>
        <v>2013.9749999999999</v>
      </c>
    </row>
    <row r="18" spans="2:4" x14ac:dyDescent="0.25">
      <c r="B18" s="109" t="s">
        <v>13</v>
      </c>
      <c r="C18" s="109"/>
    </row>
    <row r="19" spans="2:4" x14ac:dyDescent="0.25">
      <c r="B19" t="s">
        <v>180</v>
      </c>
      <c r="C19">
        <f>C6*J6</f>
        <v>400</v>
      </c>
      <c r="D19" t="s">
        <v>160</v>
      </c>
    </row>
  </sheetData>
  <mergeCells count="4">
    <mergeCell ref="J5:K5"/>
    <mergeCell ref="B4:K4"/>
    <mergeCell ref="B11:C11"/>
    <mergeCell ref="B18:C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S58"/>
  <sheetViews>
    <sheetView showGridLines="0" workbookViewId="0">
      <selection activeCell="N29" sqref="N29"/>
    </sheetView>
  </sheetViews>
  <sheetFormatPr defaultColWidth="8.85546875" defaultRowHeight="15" x14ac:dyDescent="0.25"/>
  <cols>
    <col min="1" max="1" width="3.7109375" customWidth="1"/>
    <col min="3" max="3" width="5.140625" customWidth="1"/>
    <col min="5" max="5" width="9.42578125" bestFit="1" customWidth="1"/>
    <col min="7" max="7" width="11.28515625" bestFit="1" customWidth="1"/>
    <col min="8" max="8" width="12.42578125" bestFit="1" customWidth="1"/>
    <col min="9" max="10" width="11.42578125" bestFit="1" customWidth="1"/>
    <col min="11" max="11" width="11.42578125" customWidth="1"/>
    <col min="12" max="12" width="8.85546875" customWidth="1"/>
    <col min="13" max="13" width="20.7109375" bestFit="1" customWidth="1"/>
  </cols>
  <sheetData>
    <row r="2" spans="2:19" x14ac:dyDescent="0.25">
      <c r="C2" s="117" t="s">
        <v>62</v>
      </c>
      <c r="D2" s="117"/>
      <c r="E2" s="117"/>
      <c r="F2" s="117"/>
      <c r="G2" s="117"/>
      <c r="H2" s="117"/>
      <c r="I2" s="117"/>
      <c r="J2" s="117"/>
      <c r="K2" s="117"/>
      <c r="M2" s="111" t="s">
        <v>124</v>
      </c>
      <c r="N2" s="112"/>
      <c r="O2" s="32"/>
      <c r="Q2" s="5"/>
      <c r="R2" t="s">
        <v>79</v>
      </c>
    </row>
    <row r="3" spans="2:19" x14ac:dyDescent="0.25">
      <c r="C3" s="117" t="s">
        <v>65</v>
      </c>
      <c r="D3" s="21" t="s">
        <v>76</v>
      </c>
      <c r="E3" s="21" t="s">
        <v>77</v>
      </c>
      <c r="F3" s="21" t="s">
        <v>78</v>
      </c>
      <c r="G3" s="21" t="s">
        <v>96</v>
      </c>
      <c r="H3" s="21" t="s">
        <v>94</v>
      </c>
      <c r="I3" s="21" t="s">
        <v>95</v>
      </c>
      <c r="J3" s="21" t="s">
        <v>67</v>
      </c>
      <c r="K3" s="21" t="s">
        <v>98</v>
      </c>
      <c r="M3" s="33" t="s">
        <v>76</v>
      </c>
      <c r="N3" s="34">
        <v>0.5</v>
      </c>
      <c r="Q3" s="2"/>
      <c r="R3" t="s">
        <v>80</v>
      </c>
    </row>
    <row r="4" spans="2:19" x14ac:dyDescent="0.25">
      <c r="C4" s="117"/>
      <c r="D4" s="21" t="s">
        <v>69</v>
      </c>
      <c r="E4" s="21" t="s">
        <v>69</v>
      </c>
      <c r="F4" s="21" t="s">
        <v>69</v>
      </c>
      <c r="G4" s="21" t="s">
        <v>69</v>
      </c>
      <c r="H4" s="21" t="s">
        <v>69</v>
      </c>
      <c r="I4" s="21" t="s">
        <v>69</v>
      </c>
      <c r="J4" s="21" t="s">
        <v>69</v>
      </c>
      <c r="K4" s="21" t="s">
        <v>69</v>
      </c>
      <c r="M4" s="33" t="s">
        <v>77</v>
      </c>
      <c r="N4" s="34">
        <v>0.25</v>
      </c>
      <c r="Q4" s="2"/>
      <c r="R4" t="s">
        <v>83</v>
      </c>
      <c r="S4" s="6"/>
    </row>
    <row r="5" spans="2:19" x14ac:dyDescent="0.25">
      <c r="B5" s="116" t="s">
        <v>63</v>
      </c>
      <c r="C5" s="22">
        <v>2006</v>
      </c>
      <c r="D5" s="23">
        <v>3.5000000000000003E-2</v>
      </c>
      <c r="E5" s="23">
        <v>7.4999999999999997E-2</v>
      </c>
      <c r="F5" s="23">
        <v>0.105</v>
      </c>
      <c r="G5" s="23">
        <f t="shared" ref="G5:G36" si="0">D5*$N$3+E5*$N$4+F5*$N$5</f>
        <v>6.25E-2</v>
      </c>
      <c r="H5" s="118" t="s">
        <v>123</v>
      </c>
      <c r="I5" s="118"/>
      <c r="J5" s="118"/>
      <c r="K5" s="119"/>
      <c r="M5" s="26" t="s">
        <v>78</v>
      </c>
      <c r="N5" s="35">
        <v>0.25</v>
      </c>
      <c r="Q5" s="2"/>
      <c r="R5" t="s">
        <v>102</v>
      </c>
      <c r="S5" s="6"/>
    </row>
    <row r="6" spans="2:19" x14ac:dyDescent="0.25">
      <c r="B6" s="116"/>
      <c r="C6" s="24">
        <v>2007</v>
      </c>
      <c r="D6" s="25">
        <v>3.2000000000000001E-2</v>
      </c>
      <c r="E6" s="25">
        <v>7.1999999999999995E-2</v>
      </c>
      <c r="F6" s="25">
        <v>9.1999999999999998E-2</v>
      </c>
      <c r="G6" s="25">
        <f t="shared" si="0"/>
        <v>5.7000000000000002E-2</v>
      </c>
      <c r="H6" s="120"/>
      <c r="I6" s="120"/>
      <c r="J6" s="120"/>
      <c r="K6" s="121"/>
      <c r="Q6" s="2"/>
      <c r="S6" s="6"/>
    </row>
    <row r="7" spans="2:19" x14ac:dyDescent="0.25">
      <c r="B7" s="116"/>
      <c r="C7" s="24">
        <v>2008</v>
      </c>
      <c r="D7" s="25">
        <v>2.7E-2</v>
      </c>
      <c r="E7" s="25">
        <v>7.2999999999999995E-2</v>
      </c>
      <c r="F7" s="25">
        <v>9.2999999999999999E-2</v>
      </c>
      <c r="G7" s="25">
        <f t="shared" si="0"/>
        <v>5.5E-2</v>
      </c>
      <c r="H7" s="120"/>
      <c r="I7" s="120"/>
      <c r="J7" s="120"/>
      <c r="K7" s="121"/>
      <c r="M7" s="113" t="s">
        <v>125</v>
      </c>
      <c r="N7" s="114"/>
    </row>
    <row r="8" spans="2:19" x14ac:dyDescent="0.25">
      <c r="B8" s="116"/>
      <c r="C8" s="24">
        <v>2009</v>
      </c>
      <c r="D8" s="25">
        <v>4.2000000000000003E-2</v>
      </c>
      <c r="E8" s="25">
        <v>7.5999999999999998E-2</v>
      </c>
      <c r="F8" s="25">
        <v>9.0999999999999998E-2</v>
      </c>
      <c r="G8" s="25">
        <f t="shared" si="0"/>
        <v>6.275E-2</v>
      </c>
      <c r="H8" s="120"/>
      <c r="I8" s="120"/>
      <c r="J8" s="120"/>
      <c r="K8" s="121"/>
      <c r="M8" s="36" t="s">
        <v>94</v>
      </c>
      <c r="N8" s="37">
        <v>0.16800000000000001</v>
      </c>
    </row>
    <row r="9" spans="2:19" x14ac:dyDescent="0.25">
      <c r="B9" s="116"/>
      <c r="C9" s="24">
        <v>2010</v>
      </c>
      <c r="D9" s="25">
        <v>5.2999999999999999E-2</v>
      </c>
      <c r="E9" s="25">
        <v>0.08</v>
      </c>
      <c r="F9" s="25">
        <v>9.9000000000000005E-2</v>
      </c>
      <c r="G9" s="25">
        <f t="shared" si="0"/>
        <v>7.1250000000000008E-2</v>
      </c>
      <c r="H9" s="120"/>
      <c r="I9" s="120"/>
      <c r="J9" s="120"/>
      <c r="K9" s="121"/>
      <c r="M9" s="33" t="s">
        <v>95</v>
      </c>
      <c r="N9" s="38">
        <v>0.13</v>
      </c>
    </row>
    <row r="10" spans="2:19" x14ac:dyDescent="0.25">
      <c r="B10" s="116"/>
      <c r="C10" s="24">
        <v>2011</v>
      </c>
      <c r="D10" s="25">
        <v>5.8999999999999997E-2</v>
      </c>
      <c r="E10" s="25">
        <v>8.8999999999999996E-2</v>
      </c>
      <c r="F10" s="25">
        <v>0.107</v>
      </c>
      <c r="G10" s="25">
        <f t="shared" si="0"/>
        <v>7.85E-2</v>
      </c>
      <c r="H10" s="120"/>
      <c r="I10" s="120"/>
      <c r="J10" s="120"/>
      <c r="K10" s="121"/>
      <c r="M10" s="26" t="s">
        <v>97</v>
      </c>
      <c r="N10" s="39">
        <v>0.05</v>
      </c>
    </row>
    <row r="11" spans="2:19" x14ac:dyDescent="0.25">
      <c r="B11" s="116"/>
      <c r="C11" s="24">
        <v>2012</v>
      </c>
      <c r="D11" s="25">
        <v>6.5000000000000002E-2</v>
      </c>
      <c r="E11" s="25">
        <v>0.1</v>
      </c>
      <c r="F11" s="25">
        <v>0.11700000000000001</v>
      </c>
      <c r="G11" s="25">
        <f t="shared" si="0"/>
        <v>8.6750000000000008E-2</v>
      </c>
      <c r="H11" s="120"/>
      <c r="I11" s="120"/>
      <c r="J11" s="120"/>
      <c r="K11" s="121"/>
    </row>
    <row r="12" spans="2:19" x14ac:dyDescent="0.25">
      <c r="B12" s="116"/>
      <c r="C12" s="24">
        <v>2013</v>
      </c>
      <c r="D12" s="25">
        <v>6.7000000000000004E-2</v>
      </c>
      <c r="E12" s="25">
        <v>0.104</v>
      </c>
      <c r="F12" s="25">
        <v>0.124</v>
      </c>
      <c r="G12" s="25">
        <f t="shared" si="0"/>
        <v>9.0499999999999997E-2</v>
      </c>
      <c r="H12" s="120"/>
      <c r="I12" s="120"/>
      <c r="J12" s="120"/>
      <c r="K12" s="121"/>
      <c r="M12" s="113" t="s">
        <v>126</v>
      </c>
      <c r="N12" s="115"/>
      <c r="O12" s="114"/>
    </row>
    <row r="13" spans="2:19" x14ac:dyDescent="0.25">
      <c r="B13" s="116"/>
      <c r="C13" s="24">
        <v>2014</v>
      </c>
      <c r="D13" s="25">
        <v>7.4999999999999997E-2</v>
      </c>
      <c r="E13" s="25">
        <v>0.112</v>
      </c>
      <c r="F13" s="25">
        <v>0.13500000000000001</v>
      </c>
      <c r="G13" s="25">
        <f t="shared" si="0"/>
        <v>9.9250000000000005E-2</v>
      </c>
      <c r="H13" s="120"/>
      <c r="I13" s="120"/>
      <c r="J13" s="120"/>
      <c r="K13" s="121"/>
      <c r="M13" s="36" t="s">
        <v>99</v>
      </c>
      <c r="N13" s="40">
        <v>5.0999999999999997E-2</v>
      </c>
      <c r="O13" s="41" t="s">
        <v>100</v>
      </c>
    </row>
    <row r="14" spans="2:19" x14ac:dyDescent="0.25">
      <c r="B14" s="116"/>
      <c r="C14" s="24">
        <v>2015</v>
      </c>
      <c r="D14" s="25">
        <v>0.08</v>
      </c>
      <c r="E14" s="25">
        <v>0.122</v>
      </c>
      <c r="F14" s="25">
        <v>0.161</v>
      </c>
      <c r="G14" s="25">
        <f t="shared" si="0"/>
        <v>0.11075000000000002</v>
      </c>
      <c r="H14" s="120"/>
      <c r="I14" s="120"/>
      <c r="J14" s="120"/>
      <c r="K14" s="121"/>
      <c r="M14" s="26" t="s">
        <v>101</v>
      </c>
      <c r="N14" s="42">
        <v>2.1999999999999999E-2</v>
      </c>
      <c r="O14" s="43" t="s">
        <v>100</v>
      </c>
    </row>
    <row r="15" spans="2:19" x14ac:dyDescent="0.25">
      <c r="B15" s="116"/>
      <c r="C15" s="24">
        <v>2016</v>
      </c>
      <c r="D15" s="25">
        <v>8.6999999999999994E-2</v>
      </c>
      <c r="E15" s="25">
        <v>0.13200000000000001</v>
      </c>
      <c r="F15" s="25">
        <v>0.18</v>
      </c>
      <c r="G15" s="25">
        <f t="shared" si="0"/>
        <v>0.1215</v>
      </c>
      <c r="H15" s="120"/>
      <c r="I15" s="120"/>
      <c r="J15" s="120"/>
      <c r="K15" s="121"/>
    </row>
    <row r="16" spans="2:19" x14ac:dyDescent="0.25">
      <c r="B16" s="116"/>
      <c r="C16" s="24">
        <v>2017</v>
      </c>
      <c r="D16" s="25">
        <v>7.6999999999999999E-2</v>
      </c>
      <c r="E16" s="25">
        <v>0.113</v>
      </c>
      <c r="F16" s="25">
        <v>0.157</v>
      </c>
      <c r="G16" s="25">
        <f t="shared" si="0"/>
        <v>0.10600000000000001</v>
      </c>
      <c r="H16" s="120"/>
      <c r="I16" s="120"/>
      <c r="J16" s="120"/>
      <c r="K16" s="121"/>
    </row>
    <row r="17" spans="2:13" x14ac:dyDescent="0.25">
      <c r="B17" s="116"/>
      <c r="C17" s="26">
        <v>2018</v>
      </c>
      <c r="D17" s="47">
        <v>6.5000000000000002E-2</v>
      </c>
      <c r="E17" s="48">
        <v>9.4E-2</v>
      </c>
      <c r="F17" s="49">
        <v>0.13200000000000001</v>
      </c>
      <c r="G17" s="13">
        <f t="shared" si="0"/>
        <v>8.8999999999999996E-2</v>
      </c>
      <c r="H17" s="13">
        <f>$N$8*G17</f>
        <v>1.4952E-2</v>
      </c>
      <c r="I17" s="13">
        <f>$N$9*$G$5</f>
        <v>8.1250000000000003E-3</v>
      </c>
      <c r="J17" s="14">
        <f t="shared" ref="J17:J57" si="1">G17*$N$10</f>
        <v>4.45E-3</v>
      </c>
      <c r="K17" s="27">
        <f t="shared" ref="K17:K57" si="2">J17+I17+H17+G17</f>
        <v>0.11652699999999999</v>
      </c>
      <c r="L17" s="7"/>
      <c r="M17" s="7"/>
    </row>
    <row r="18" spans="2:13" x14ac:dyDescent="0.25">
      <c r="B18" s="116" t="s">
        <v>64</v>
      </c>
      <c r="C18" s="28">
        <v>2019</v>
      </c>
      <c r="D18" s="29">
        <f t="shared" ref="D18:D57" si="3">D17*(1+$N$13)</f>
        <v>6.8315000000000001E-2</v>
      </c>
      <c r="E18" s="29">
        <f t="shared" ref="E18:E57" si="4">E17*(1+$N$13)</f>
        <v>9.8793999999999993E-2</v>
      </c>
      <c r="F18" s="29">
        <f t="shared" ref="F18:F57" si="5">F17*(1+$N$13)</f>
        <v>0.13873199999999999</v>
      </c>
      <c r="G18" s="29">
        <f t="shared" si="0"/>
        <v>9.3538999999999997E-2</v>
      </c>
      <c r="H18" s="30">
        <f t="shared" ref="H18:H57" si="6">H17*(1+$N$14)</f>
        <v>1.5280944000000001E-2</v>
      </c>
      <c r="I18" s="29">
        <f t="shared" ref="I18:I57" si="7">I17*(1+$N$14)</f>
        <v>8.3037500000000004E-3</v>
      </c>
      <c r="J18" s="31">
        <f t="shared" si="1"/>
        <v>4.67695E-3</v>
      </c>
      <c r="K18" s="74">
        <f t="shared" si="2"/>
        <v>0.121800644</v>
      </c>
    </row>
    <row r="19" spans="2:13" x14ac:dyDescent="0.25">
      <c r="B19" s="116"/>
      <c r="C19" s="28">
        <v>2020</v>
      </c>
      <c r="D19" s="29">
        <f t="shared" si="3"/>
        <v>7.1799064999999995E-2</v>
      </c>
      <c r="E19" s="29">
        <f t="shared" si="4"/>
        <v>0.10383249399999998</v>
      </c>
      <c r="F19" s="29">
        <f t="shared" si="5"/>
        <v>0.14580733199999998</v>
      </c>
      <c r="G19" s="29">
        <f t="shared" si="0"/>
        <v>9.8309489E-2</v>
      </c>
      <c r="H19" s="29">
        <f t="shared" si="6"/>
        <v>1.5617124768000002E-2</v>
      </c>
      <c r="I19" s="29">
        <f t="shared" si="7"/>
        <v>8.4864325000000001E-3</v>
      </c>
      <c r="J19" s="31">
        <f t="shared" si="1"/>
        <v>4.9154744500000003E-3</v>
      </c>
      <c r="K19" s="74">
        <f t="shared" si="2"/>
        <v>0.12732852071799999</v>
      </c>
    </row>
    <row r="20" spans="2:13" x14ac:dyDescent="0.25">
      <c r="B20" s="116"/>
      <c r="C20" s="28">
        <v>2021</v>
      </c>
      <c r="D20" s="29">
        <f t="shared" si="3"/>
        <v>7.5460817314999984E-2</v>
      </c>
      <c r="E20" s="29">
        <f t="shared" si="4"/>
        <v>0.10912795119399997</v>
      </c>
      <c r="F20" s="29">
        <f t="shared" si="5"/>
        <v>0.15324350593199998</v>
      </c>
      <c r="G20" s="29">
        <f t="shared" si="0"/>
        <v>0.10332327293899998</v>
      </c>
      <c r="H20" s="29">
        <f t="shared" si="6"/>
        <v>1.5960701512896001E-2</v>
      </c>
      <c r="I20" s="29">
        <f t="shared" si="7"/>
        <v>8.6731340150000003E-3</v>
      </c>
      <c r="J20" s="31">
        <f t="shared" si="1"/>
        <v>5.1661636469499993E-3</v>
      </c>
      <c r="K20" s="74">
        <f t="shared" si="2"/>
        <v>0.13312327211384598</v>
      </c>
    </row>
    <row r="21" spans="2:13" x14ac:dyDescent="0.25">
      <c r="B21" s="116"/>
      <c r="C21" s="28">
        <v>2022</v>
      </c>
      <c r="D21" s="29">
        <f t="shared" si="3"/>
        <v>7.9309318998064982E-2</v>
      </c>
      <c r="E21" s="29">
        <f t="shared" si="4"/>
        <v>0.11469347670489397</v>
      </c>
      <c r="F21" s="29">
        <f t="shared" si="5"/>
        <v>0.16105892473453196</v>
      </c>
      <c r="G21" s="29">
        <f t="shared" si="0"/>
        <v>0.10859275985888897</v>
      </c>
      <c r="H21" s="29">
        <f t="shared" si="6"/>
        <v>1.6311836946179714E-2</v>
      </c>
      <c r="I21" s="29">
        <f t="shared" si="7"/>
        <v>8.8639429633300005E-3</v>
      </c>
      <c r="J21" s="31">
        <f t="shared" si="1"/>
        <v>5.4296379929444491E-3</v>
      </c>
      <c r="K21" s="74">
        <f t="shared" si="2"/>
        <v>0.13919817776134313</v>
      </c>
    </row>
    <row r="22" spans="2:13" x14ac:dyDescent="0.25">
      <c r="B22" s="116"/>
      <c r="C22" s="44">
        <v>2023</v>
      </c>
      <c r="D22" s="45">
        <f t="shared" si="3"/>
        <v>8.3354094266966286E-2</v>
      </c>
      <c r="E22" s="45">
        <f t="shared" si="4"/>
        <v>0.12054284401684355</v>
      </c>
      <c r="F22" s="45">
        <f t="shared" si="5"/>
        <v>0.16927292989599307</v>
      </c>
      <c r="G22" s="45">
        <f t="shared" si="0"/>
        <v>0.1141309906116923</v>
      </c>
      <c r="H22" s="45">
        <f t="shared" si="6"/>
        <v>1.6670697358995668E-2</v>
      </c>
      <c r="I22" s="45">
        <f t="shared" si="7"/>
        <v>9.0589497085232611E-3</v>
      </c>
      <c r="J22" s="46">
        <f t="shared" si="1"/>
        <v>5.7065495305846153E-3</v>
      </c>
      <c r="K22" s="75">
        <f t="shared" si="2"/>
        <v>0.14556718720979583</v>
      </c>
    </row>
    <row r="23" spans="2:13" x14ac:dyDescent="0.25">
      <c r="B23" s="116"/>
      <c r="C23" s="28">
        <v>2024</v>
      </c>
      <c r="D23" s="29">
        <f t="shared" si="3"/>
        <v>8.7605153074581554E-2</v>
      </c>
      <c r="E23" s="29">
        <f t="shared" si="4"/>
        <v>0.12669052906170256</v>
      </c>
      <c r="F23" s="29">
        <f t="shared" si="5"/>
        <v>0.1779058493206887</v>
      </c>
      <c r="G23" s="29">
        <f t="shared" si="0"/>
        <v>0.11995167113288858</v>
      </c>
      <c r="H23" s="29">
        <f t="shared" si="6"/>
        <v>1.7037452700893574E-2</v>
      </c>
      <c r="I23" s="29">
        <f t="shared" si="7"/>
        <v>9.2582466021107722E-3</v>
      </c>
      <c r="J23" s="31">
        <f t="shared" si="1"/>
        <v>5.9975835566444292E-3</v>
      </c>
      <c r="K23" s="74">
        <f t="shared" si="2"/>
        <v>0.15224495399253735</v>
      </c>
    </row>
    <row r="24" spans="2:13" x14ac:dyDescent="0.25">
      <c r="B24" s="116"/>
      <c r="C24" s="28">
        <v>2025</v>
      </c>
      <c r="D24" s="29">
        <f t="shared" si="3"/>
        <v>9.2073015881385209E-2</v>
      </c>
      <c r="E24" s="29">
        <f t="shared" si="4"/>
        <v>0.13315174604384938</v>
      </c>
      <c r="F24" s="29">
        <f t="shared" si="5"/>
        <v>0.18697904763604381</v>
      </c>
      <c r="G24" s="29">
        <f t="shared" si="0"/>
        <v>0.1260692063606659</v>
      </c>
      <c r="H24" s="29">
        <f t="shared" si="6"/>
        <v>1.7412276660313232E-2</v>
      </c>
      <c r="I24" s="29">
        <f t="shared" si="7"/>
        <v>9.4619280273572099E-3</v>
      </c>
      <c r="J24" s="31">
        <f t="shared" si="1"/>
        <v>6.3034603180332953E-3</v>
      </c>
      <c r="K24" s="74">
        <f t="shared" si="2"/>
        <v>0.15924687136636964</v>
      </c>
    </row>
    <row r="25" spans="2:13" x14ac:dyDescent="0.25">
      <c r="B25" s="116"/>
      <c r="C25" s="28">
        <v>2026</v>
      </c>
      <c r="D25" s="29">
        <f t="shared" si="3"/>
        <v>9.6768739691335842E-2</v>
      </c>
      <c r="E25" s="29">
        <f t="shared" si="4"/>
        <v>0.13994248509208571</v>
      </c>
      <c r="F25" s="29">
        <f t="shared" si="5"/>
        <v>0.19651497906548204</v>
      </c>
      <c r="G25" s="29">
        <f t="shared" si="0"/>
        <v>0.13249873588505984</v>
      </c>
      <c r="H25" s="29">
        <f t="shared" si="6"/>
        <v>1.7795346746840125E-2</v>
      </c>
      <c r="I25" s="29">
        <f t="shared" si="7"/>
        <v>9.6700904439590684E-3</v>
      </c>
      <c r="J25" s="31">
        <f t="shared" si="1"/>
        <v>6.624936794252992E-3</v>
      </c>
      <c r="K25" s="74">
        <f t="shared" si="2"/>
        <v>0.16658910987011202</v>
      </c>
    </row>
    <row r="26" spans="2:13" x14ac:dyDescent="0.25">
      <c r="B26" s="116"/>
      <c r="C26" s="28">
        <v>2027</v>
      </c>
      <c r="D26" s="29">
        <f t="shared" si="3"/>
        <v>0.10170394541559397</v>
      </c>
      <c r="E26" s="29">
        <f t="shared" si="4"/>
        <v>0.14707955183178206</v>
      </c>
      <c r="F26" s="29">
        <f t="shared" si="5"/>
        <v>0.20653724299782161</v>
      </c>
      <c r="G26" s="29">
        <f t="shared" si="0"/>
        <v>0.13925617141519792</v>
      </c>
      <c r="H26" s="29">
        <f t="shared" si="6"/>
        <v>1.8186844375270607E-2</v>
      </c>
      <c r="I26" s="29">
        <f t="shared" si="7"/>
        <v>9.8828324337261689E-3</v>
      </c>
      <c r="J26" s="31">
        <f t="shared" si="1"/>
        <v>6.962808570759896E-3</v>
      </c>
      <c r="K26" s="74">
        <f t="shared" si="2"/>
        <v>0.17428865679495459</v>
      </c>
    </row>
    <row r="27" spans="2:13" x14ac:dyDescent="0.25">
      <c r="B27" s="116"/>
      <c r="C27" s="28">
        <v>2028</v>
      </c>
      <c r="D27" s="29">
        <f t="shared" si="3"/>
        <v>0.10689084663178926</v>
      </c>
      <c r="E27" s="29">
        <f t="shared" si="4"/>
        <v>0.15458060897520293</v>
      </c>
      <c r="F27" s="29">
        <f t="shared" si="5"/>
        <v>0.2170706423907105</v>
      </c>
      <c r="G27" s="29">
        <f t="shared" si="0"/>
        <v>0.14635823615737298</v>
      </c>
      <c r="H27" s="29">
        <f t="shared" si="6"/>
        <v>1.8586954951526562E-2</v>
      </c>
      <c r="I27" s="29">
        <f t="shared" si="7"/>
        <v>1.0100254747268144E-2</v>
      </c>
      <c r="J27" s="31">
        <f t="shared" si="1"/>
        <v>7.3179118078686494E-3</v>
      </c>
      <c r="K27" s="74">
        <f t="shared" si="2"/>
        <v>0.18236335766403633</v>
      </c>
    </row>
    <row r="28" spans="2:13" x14ac:dyDescent="0.25">
      <c r="B28" s="116"/>
      <c r="C28" s="28">
        <v>2029</v>
      </c>
      <c r="D28" s="29">
        <f t="shared" si="3"/>
        <v>0.11234227981001051</v>
      </c>
      <c r="E28" s="29">
        <f t="shared" si="4"/>
        <v>0.16246422003293826</v>
      </c>
      <c r="F28" s="29">
        <f t="shared" si="5"/>
        <v>0.22814124515263673</v>
      </c>
      <c r="G28" s="29">
        <f t="shared" si="0"/>
        <v>0.15382250620139898</v>
      </c>
      <c r="H28" s="29">
        <f t="shared" si="6"/>
        <v>1.8995867960460145E-2</v>
      </c>
      <c r="I28" s="29">
        <f t="shared" si="7"/>
        <v>1.0322460351708043E-2</v>
      </c>
      <c r="J28" s="31">
        <f t="shared" si="1"/>
        <v>7.6911253100699489E-3</v>
      </c>
      <c r="K28" s="74">
        <f t="shared" si="2"/>
        <v>0.1908319598236371</v>
      </c>
    </row>
    <row r="29" spans="2:13" x14ac:dyDescent="0.25">
      <c r="B29" s="116"/>
      <c r="C29" s="28">
        <v>2030</v>
      </c>
      <c r="D29" s="29">
        <f t="shared" si="3"/>
        <v>0.11807173608032104</v>
      </c>
      <c r="E29" s="29">
        <f t="shared" si="4"/>
        <v>0.17074989525461809</v>
      </c>
      <c r="F29" s="29">
        <f t="shared" si="5"/>
        <v>0.23977644865542119</v>
      </c>
      <c r="G29" s="29">
        <f t="shared" si="0"/>
        <v>0.16166745401767035</v>
      </c>
      <c r="H29" s="29">
        <f t="shared" si="6"/>
        <v>1.9413777055590269E-2</v>
      </c>
      <c r="I29" s="29">
        <f t="shared" si="7"/>
        <v>1.054955447944562E-2</v>
      </c>
      <c r="J29" s="31">
        <f t="shared" si="1"/>
        <v>8.083372700883518E-3</v>
      </c>
      <c r="K29" s="74">
        <f t="shared" si="2"/>
        <v>0.19971415825358976</v>
      </c>
    </row>
    <row r="30" spans="2:13" x14ac:dyDescent="0.25">
      <c r="B30" s="116"/>
      <c r="C30" s="28">
        <v>2031</v>
      </c>
      <c r="D30" s="29">
        <f t="shared" si="3"/>
        <v>0.12409339462041741</v>
      </c>
      <c r="E30" s="29">
        <f t="shared" si="4"/>
        <v>0.17945813991260359</v>
      </c>
      <c r="F30" s="29">
        <f t="shared" si="5"/>
        <v>0.25200504753684766</v>
      </c>
      <c r="G30" s="29">
        <f t="shared" si="0"/>
        <v>0.16991249417257154</v>
      </c>
      <c r="H30" s="29">
        <f t="shared" si="6"/>
        <v>1.9840880150813256E-2</v>
      </c>
      <c r="I30" s="29">
        <f t="shared" si="7"/>
        <v>1.0781644677993424E-2</v>
      </c>
      <c r="J30" s="31">
        <f t="shared" si="1"/>
        <v>8.4956247086285779E-3</v>
      </c>
      <c r="K30" s="74">
        <f t="shared" si="2"/>
        <v>0.20903064371000679</v>
      </c>
    </row>
    <row r="31" spans="2:13" x14ac:dyDescent="0.25">
      <c r="B31" s="116"/>
      <c r="C31" s="28">
        <v>2032</v>
      </c>
      <c r="D31" s="29">
        <f t="shared" si="3"/>
        <v>0.1304221577460587</v>
      </c>
      <c r="E31" s="29">
        <f t="shared" si="4"/>
        <v>0.18861050504814636</v>
      </c>
      <c r="F31" s="29">
        <f t="shared" si="5"/>
        <v>0.26485730496122689</v>
      </c>
      <c r="G31" s="29">
        <f t="shared" si="0"/>
        <v>0.17857803137537265</v>
      </c>
      <c r="H31" s="29">
        <f t="shared" si="6"/>
        <v>2.0277379514131149E-2</v>
      </c>
      <c r="I31" s="29">
        <f t="shared" si="7"/>
        <v>1.101884086090928E-2</v>
      </c>
      <c r="J31" s="31">
        <f t="shared" si="1"/>
        <v>8.9289015687686324E-3</v>
      </c>
      <c r="K31" s="74">
        <f t="shared" si="2"/>
        <v>0.21880315331918171</v>
      </c>
    </row>
    <row r="32" spans="2:13" x14ac:dyDescent="0.25">
      <c r="B32" s="116"/>
      <c r="C32" s="28">
        <v>2033</v>
      </c>
      <c r="D32" s="29">
        <f t="shared" si="3"/>
        <v>0.13707368779110768</v>
      </c>
      <c r="E32" s="29">
        <f t="shared" si="4"/>
        <v>0.19822964080560182</v>
      </c>
      <c r="F32" s="29">
        <f t="shared" si="5"/>
        <v>0.27836502751424946</v>
      </c>
      <c r="G32" s="29">
        <f t="shared" si="0"/>
        <v>0.18768551097551667</v>
      </c>
      <c r="H32" s="29">
        <f t="shared" si="6"/>
        <v>2.0723481863442035E-2</v>
      </c>
      <c r="I32" s="29">
        <f t="shared" si="7"/>
        <v>1.1261255359849284E-2</v>
      </c>
      <c r="J32" s="31">
        <f t="shared" si="1"/>
        <v>9.3842755487758348E-3</v>
      </c>
      <c r="K32" s="74">
        <f t="shared" si="2"/>
        <v>0.22905452374758384</v>
      </c>
    </row>
    <row r="33" spans="2:13" x14ac:dyDescent="0.25">
      <c r="B33" s="116"/>
      <c r="C33" s="28">
        <v>2034</v>
      </c>
      <c r="D33" s="29">
        <f t="shared" si="3"/>
        <v>0.14406444586845416</v>
      </c>
      <c r="E33" s="29">
        <f t="shared" si="4"/>
        <v>0.2083393524866875</v>
      </c>
      <c r="F33" s="29">
        <f t="shared" si="5"/>
        <v>0.29256164391747619</v>
      </c>
      <c r="G33" s="29">
        <f t="shared" si="0"/>
        <v>0.197257472035268</v>
      </c>
      <c r="H33" s="29">
        <f t="shared" si="6"/>
        <v>2.1179398464437761E-2</v>
      </c>
      <c r="I33" s="29">
        <f t="shared" si="7"/>
        <v>1.1509002977765968E-2</v>
      </c>
      <c r="J33" s="31">
        <f t="shared" si="1"/>
        <v>9.8628736017634007E-3</v>
      </c>
      <c r="K33" s="74">
        <f t="shared" si="2"/>
        <v>0.23980874707923514</v>
      </c>
    </row>
    <row r="34" spans="2:13" x14ac:dyDescent="0.25">
      <c r="B34" s="116"/>
      <c r="C34" s="28">
        <v>2035</v>
      </c>
      <c r="D34" s="29">
        <f t="shared" si="3"/>
        <v>0.15141173260774532</v>
      </c>
      <c r="E34" s="29">
        <f t="shared" si="4"/>
        <v>0.21896465946350854</v>
      </c>
      <c r="F34" s="29">
        <f t="shared" si="5"/>
        <v>0.30748228775726744</v>
      </c>
      <c r="G34" s="29">
        <f t="shared" si="0"/>
        <v>0.20731760310906666</v>
      </c>
      <c r="H34" s="29">
        <f t="shared" si="6"/>
        <v>2.1645345230655394E-2</v>
      </c>
      <c r="I34" s="29">
        <f t="shared" si="7"/>
        <v>1.176220104327682E-2</v>
      </c>
      <c r="J34" s="31">
        <f t="shared" si="1"/>
        <v>1.0365880155453333E-2</v>
      </c>
      <c r="K34" s="74">
        <f t="shared" si="2"/>
        <v>0.25109102953845219</v>
      </c>
    </row>
    <row r="35" spans="2:13" x14ac:dyDescent="0.25">
      <c r="B35" s="116"/>
      <c r="C35" s="28">
        <v>2036</v>
      </c>
      <c r="D35" s="29">
        <f t="shared" si="3"/>
        <v>0.15913373097074032</v>
      </c>
      <c r="E35" s="29">
        <f t="shared" si="4"/>
        <v>0.23013185709614747</v>
      </c>
      <c r="F35" s="29">
        <f t="shared" si="5"/>
        <v>0.32316388443288807</v>
      </c>
      <c r="G35" s="29">
        <f t="shared" si="0"/>
        <v>0.21789080086762908</v>
      </c>
      <c r="H35" s="29">
        <f t="shared" si="6"/>
        <v>2.2121542825729812E-2</v>
      </c>
      <c r="I35" s="29">
        <f t="shared" si="7"/>
        <v>1.2020969466228909E-2</v>
      </c>
      <c r="J35" s="31">
        <f t="shared" si="1"/>
        <v>1.0894540043381454E-2</v>
      </c>
      <c r="K35" s="74">
        <f t="shared" si="2"/>
        <v>0.26292785320296924</v>
      </c>
      <c r="M35" s="8"/>
    </row>
    <row r="36" spans="2:13" x14ac:dyDescent="0.25">
      <c r="B36" s="116"/>
      <c r="C36" s="28">
        <v>2037</v>
      </c>
      <c r="D36" s="29">
        <f t="shared" si="3"/>
        <v>0.16724955125024807</v>
      </c>
      <c r="E36" s="29">
        <f t="shared" si="4"/>
        <v>0.24186858180805099</v>
      </c>
      <c r="F36" s="29">
        <f t="shared" si="5"/>
        <v>0.33964524253896533</v>
      </c>
      <c r="G36" s="29">
        <f t="shared" si="0"/>
        <v>0.22900323171187811</v>
      </c>
      <c r="H36" s="29">
        <f t="shared" si="6"/>
        <v>2.2608216767895869E-2</v>
      </c>
      <c r="I36" s="29">
        <f t="shared" si="7"/>
        <v>1.2285430794485946E-2</v>
      </c>
      <c r="J36" s="31">
        <f t="shared" si="1"/>
        <v>1.1450161585593907E-2</v>
      </c>
      <c r="K36" s="74">
        <f t="shared" si="2"/>
        <v>0.27534704085985384</v>
      </c>
    </row>
    <row r="37" spans="2:13" x14ac:dyDescent="0.25">
      <c r="B37" s="116"/>
      <c r="C37" s="44">
        <v>2038</v>
      </c>
      <c r="D37" s="45">
        <f t="shared" si="3"/>
        <v>0.17577927836401072</v>
      </c>
      <c r="E37" s="45">
        <f t="shared" si="4"/>
        <v>0.25420387948026157</v>
      </c>
      <c r="F37" s="45">
        <f t="shared" si="5"/>
        <v>0.35696714990845252</v>
      </c>
      <c r="G37" s="45">
        <f t="shared" ref="G37:G57" si="8">D37*$N$3+E37*$N$4+F37*$N$5</f>
        <v>0.24068239652918388</v>
      </c>
      <c r="H37" s="45">
        <f t="shared" si="6"/>
        <v>2.310559753678958E-2</v>
      </c>
      <c r="I37" s="45">
        <f t="shared" si="7"/>
        <v>1.2555710271964636E-2</v>
      </c>
      <c r="J37" s="46">
        <f t="shared" si="1"/>
        <v>1.2034119826459196E-2</v>
      </c>
      <c r="K37" s="75">
        <f t="shared" si="2"/>
        <v>0.28837782416439728</v>
      </c>
    </row>
    <row r="38" spans="2:13" x14ac:dyDescent="0.25">
      <c r="B38" s="116"/>
      <c r="C38" s="28">
        <v>2039</v>
      </c>
      <c r="D38" s="29">
        <f t="shared" si="3"/>
        <v>0.18474402156057526</v>
      </c>
      <c r="E38" s="29">
        <f t="shared" si="4"/>
        <v>0.26716827733375492</v>
      </c>
      <c r="F38" s="29">
        <f t="shared" si="5"/>
        <v>0.37517247455378355</v>
      </c>
      <c r="G38" s="29">
        <f t="shared" si="8"/>
        <v>0.25295719875217226</v>
      </c>
      <c r="H38" s="29">
        <f t="shared" si="6"/>
        <v>2.361392068259895E-2</v>
      </c>
      <c r="I38" s="29">
        <f t="shared" si="7"/>
        <v>1.2831935897947858E-2</v>
      </c>
      <c r="J38" s="31">
        <f t="shared" si="1"/>
        <v>1.2647859937608613E-2</v>
      </c>
      <c r="K38" s="74">
        <f t="shared" si="2"/>
        <v>0.30205091527032768</v>
      </c>
    </row>
    <row r="39" spans="2:13" x14ac:dyDescent="0.25">
      <c r="B39" s="116"/>
      <c r="C39" s="28">
        <v>2040</v>
      </c>
      <c r="D39" s="29">
        <f t="shared" si="3"/>
        <v>0.19416596666016459</v>
      </c>
      <c r="E39" s="29">
        <f t="shared" si="4"/>
        <v>0.28079385947777641</v>
      </c>
      <c r="F39" s="29">
        <f t="shared" si="5"/>
        <v>0.39430627075602648</v>
      </c>
      <c r="G39" s="29">
        <f t="shared" si="8"/>
        <v>0.26585801588853303</v>
      </c>
      <c r="H39" s="29">
        <f t="shared" si="6"/>
        <v>2.4133426937616127E-2</v>
      </c>
      <c r="I39" s="29">
        <f t="shared" si="7"/>
        <v>1.311423848770271E-2</v>
      </c>
      <c r="J39" s="31">
        <f t="shared" si="1"/>
        <v>1.3292900794426653E-2</v>
      </c>
      <c r="K39" s="74">
        <f t="shared" si="2"/>
        <v>0.31639858210827854</v>
      </c>
    </row>
    <row r="40" spans="2:13" x14ac:dyDescent="0.25">
      <c r="B40" s="116"/>
      <c r="C40" s="28">
        <v>2041</v>
      </c>
      <c r="D40" s="29">
        <f t="shared" si="3"/>
        <v>0.20406843095983296</v>
      </c>
      <c r="E40" s="29">
        <f t="shared" si="4"/>
        <v>0.29511434631114297</v>
      </c>
      <c r="F40" s="29">
        <f t="shared" si="5"/>
        <v>0.41441589056458378</v>
      </c>
      <c r="G40" s="29">
        <f t="shared" si="8"/>
        <v>0.27941677469884818</v>
      </c>
      <c r="H40" s="29">
        <f t="shared" si="6"/>
        <v>2.4664362330243682E-2</v>
      </c>
      <c r="I40" s="29">
        <f t="shared" si="7"/>
        <v>1.3402751734432171E-2</v>
      </c>
      <c r="J40" s="31">
        <f t="shared" si="1"/>
        <v>1.397083873494241E-2</v>
      </c>
      <c r="K40" s="74">
        <f t="shared" si="2"/>
        <v>0.33145472749846644</v>
      </c>
    </row>
    <row r="41" spans="2:13" x14ac:dyDescent="0.25">
      <c r="B41" s="116"/>
      <c r="C41" s="28">
        <v>2042</v>
      </c>
      <c r="D41" s="29">
        <f t="shared" si="3"/>
        <v>0.21447592093878443</v>
      </c>
      <c r="E41" s="29">
        <f t="shared" si="4"/>
        <v>0.31016517797301124</v>
      </c>
      <c r="F41" s="29">
        <f t="shared" si="5"/>
        <v>0.43555110098337751</v>
      </c>
      <c r="G41" s="29">
        <f t="shared" si="8"/>
        <v>0.29366703020848939</v>
      </c>
      <c r="H41" s="29">
        <f t="shared" si="6"/>
        <v>2.5206978301509045E-2</v>
      </c>
      <c r="I41" s="29">
        <f t="shared" si="7"/>
        <v>1.3697612272589678E-2</v>
      </c>
      <c r="J41" s="31">
        <f t="shared" si="1"/>
        <v>1.4683351510424471E-2</v>
      </c>
      <c r="K41" s="74">
        <f t="shared" si="2"/>
        <v>0.34725497229301261</v>
      </c>
    </row>
    <row r="42" spans="2:13" x14ac:dyDescent="0.25">
      <c r="B42" s="116"/>
      <c r="C42" s="28">
        <v>2043</v>
      </c>
      <c r="D42" s="29">
        <f t="shared" si="3"/>
        <v>0.22541419290666243</v>
      </c>
      <c r="E42" s="29">
        <f t="shared" si="4"/>
        <v>0.32598360204963478</v>
      </c>
      <c r="F42" s="29">
        <f t="shared" si="5"/>
        <v>0.45776420713352972</v>
      </c>
      <c r="G42" s="29">
        <f t="shared" si="8"/>
        <v>0.30864404874912232</v>
      </c>
      <c r="H42" s="29">
        <f t="shared" si="6"/>
        <v>2.5761531824142245E-2</v>
      </c>
      <c r="I42" s="29">
        <f t="shared" si="7"/>
        <v>1.399895974258665E-2</v>
      </c>
      <c r="J42" s="31">
        <f t="shared" si="1"/>
        <v>1.5432202437456117E-2</v>
      </c>
      <c r="K42" s="74">
        <f t="shared" si="2"/>
        <v>0.36383674275330735</v>
      </c>
    </row>
    <row r="43" spans="2:13" x14ac:dyDescent="0.25">
      <c r="B43" s="116"/>
      <c r="C43" s="28">
        <v>2044</v>
      </c>
      <c r="D43" s="29">
        <f t="shared" si="3"/>
        <v>0.23691031674490221</v>
      </c>
      <c r="E43" s="29">
        <f t="shared" si="4"/>
        <v>0.34260876575416616</v>
      </c>
      <c r="F43" s="29">
        <f t="shared" si="5"/>
        <v>0.48111018169733971</v>
      </c>
      <c r="G43" s="29">
        <f t="shared" si="8"/>
        <v>0.3243848952353276</v>
      </c>
      <c r="H43" s="29">
        <f t="shared" si="6"/>
        <v>2.6328285524273375E-2</v>
      </c>
      <c r="I43" s="29">
        <f t="shared" si="7"/>
        <v>1.4306936856923557E-2</v>
      </c>
      <c r="J43" s="31">
        <f t="shared" si="1"/>
        <v>1.621924476176638E-2</v>
      </c>
      <c r="K43" s="74">
        <f t="shared" si="2"/>
        <v>0.38123936237829092</v>
      </c>
    </row>
    <row r="44" spans="2:13" x14ac:dyDescent="0.25">
      <c r="B44" s="116"/>
      <c r="C44" s="28">
        <v>2045</v>
      </c>
      <c r="D44" s="29">
        <f t="shared" si="3"/>
        <v>0.2489927428988922</v>
      </c>
      <c r="E44" s="29">
        <f t="shared" si="4"/>
        <v>0.36008181280762863</v>
      </c>
      <c r="F44" s="29">
        <f t="shared" si="5"/>
        <v>0.50564680096390402</v>
      </c>
      <c r="G44" s="29">
        <f t="shared" si="8"/>
        <v>0.34092852489232928</v>
      </c>
      <c r="H44" s="29">
        <f t="shared" si="6"/>
        <v>2.690750780580739E-2</v>
      </c>
      <c r="I44" s="29">
        <f t="shared" si="7"/>
        <v>1.4621689467775876E-2</v>
      </c>
      <c r="J44" s="31">
        <f t="shared" si="1"/>
        <v>1.7046426244616466E-2</v>
      </c>
      <c r="K44" s="74">
        <f t="shared" si="2"/>
        <v>0.399504148410529</v>
      </c>
    </row>
    <row r="45" spans="2:13" x14ac:dyDescent="0.25">
      <c r="B45" s="116"/>
      <c r="C45" s="28">
        <v>2046</v>
      </c>
      <c r="D45" s="29">
        <f t="shared" si="3"/>
        <v>0.26169137278673571</v>
      </c>
      <c r="E45" s="29">
        <f t="shared" si="4"/>
        <v>0.37844598526081769</v>
      </c>
      <c r="F45" s="29">
        <f t="shared" si="5"/>
        <v>0.53143478781306308</v>
      </c>
      <c r="G45" s="29">
        <f t="shared" si="8"/>
        <v>0.35831587966183809</v>
      </c>
      <c r="H45" s="29">
        <f t="shared" si="6"/>
        <v>2.7499472977535154E-2</v>
      </c>
      <c r="I45" s="29">
        <f t="shared" si="7"/>
        <v>1.4943366636066945E-2</v>
      </c>
      <c r="J45" s="31">
        <f t="shared" si="1"/>
        <v>1.7915793983091906E-2</v>
      </c>
      <c r="K45" s="74">
        <f t="shared" si="2"/>
        <v>0.41867451325853211</v>
      </c>
    </row>
    <row r="46" spans="2:13" x14ac:dyDescent="0.25">
      <c r="B46" s="116"/>
      <c r="C46" s="28">
        <v>2047</v>
      </c>
      <c r="D46" s="29">
        <f t="shared" si="3"/>
        <v>0.27503763279885923</v>
      </c>
      <c r="E46" s="29">
        <f t="shared" si="4"/>
        <v>0.39774673050911935</v>
      </c>
      <c r="F46" s="29">
        <f t="shared" si="5"/>
        <v>0.55853796199152927</v>
      </c>
      <c r="G46" s="29">
        <f t="shared" si="8"/>
        <v>0.37658998952459177</v>
      </c>
      <c r="H46" s="29">
        <f t="shared" si="6"/>
        <v>2.810446138304093E-2</v>
      </c>
      <c r="I46" s="29">
        <f t="shared" si="7"/>
        <v>1.5272120702060419E-2</v>
      </c>
      <c r="J46" s="31">
        <f t="shared" si="1"/>
        <v>1.882949947622959E-2</v>
      </c>
      <c r="K46" s="74">
        <f t="shared" si="2"/>
        <v>0.43879607108592272</v>
      </c>
    </row>
    <row r="47" spans="2:13" x14ac:dyDescent="0.25">
      <c r="B47" s="116"/>
      <c r="C47" s="28">
        <v>2048</v>
      </c>
      <c r="D47" s="29">
        <f t="shared" si="3"/>
        <v>0.28906455207160103</v>
      </c>
      <c r="E47" s="29">
        <f t="shared" si="4"/>
        <v>0.41803181376508441</v>
      </c>
      <c r="F47" s="29">
        <f t="shared" si="5"/>
        <v>0.58702339805309722</v>
      </c>
      <c r="G47" s="29">
        <f t="shared" si="8"/>
        <v>0.39579607899034591</v>
      </c>
      <c r="H47" s="29">
        <f t="shared" si="6"/>
        <v>2.8722759533467829E-2</v>
      </c>
      <c r="I47" s="29">
        <f t="shared" si="7"/>
        <v>1.5608107357505748E-2</v>
      </c>
      <c r="J47" s="31">
        <f t="shared" si="1"/>
        <v>1.9789803949517296E-2</v>
      </c>
      <c r="K47" s="74">
        <f t="shared" si="2"/>
        <v>0.4599167498308368</v>
      </c>
    </row>
    <row r="48" spans="2:13" x14ac:dyDescent="0.25">
      <c r="B48" s="116"/>
      <c r="C48" s="28">
        <v>2049</v>
      </c>
      <c r="D48" s="29">
        <f t="shared" si="3"/>
        <v>0.30380684422725268</v>
      </c>
      <c r="E48" s="29">
        <f t="shared" si="4"/>
        <v>0.43935143626710371</v>
      </c>
      <c r="F48" s="29">
        <f t="shared" si="5"/>
        <v>0.61696159135380513</v>
      </c>
      <c r="G48" s="29">
        <f t="shared" si="8"/>
        <v>0.41598167901885358</v>
      </c>
      <c r="H48" s="29">
        <f t="shared" si="6"/>
        <v>2.9354660243204121E-2</v>
      </c>
      <c r="I48" s="29">
        <f t="shared" si="7"/>
        <v>1.5951485719370877E-2</v>
      </c>
      <c r="J48" s="31">
        <f t="shared" si="1"/>
        <v>2.0799083950942682E-2</v>
      </c>
      <c r="K48" s="74">
        <f t="shared" si="2"/>
        <v>0.48208690893237127</v>
      </c>
    </row>
    <row r="49" spans="2:11" x14ac:dyDescent="0.25">
      <c r="B49" s="116"/>
      <c r="C49" s="28">
        <v>2050</v>
      </c>
      <c r="D49" s="29">
        <f t="shared" si="3"/>
        <v>0.31930099328284256</v>
      </c>
      <c r="E49" s="29">
        <f t="shared" si="4"/>
        <v>0.46175835951672595</v>
      </c>
      <c r="F49" s="29">
        <f t="shared" si="5"/>
        <v>0.64842663251284915</v>
      </c>
      <c r="G49" s="29">
        <f t="shared" si="8"/>
        <v>0.43719674464881503</v>
      </c>
      <c r="H49" s="29">
        <f t="shared" si="6"/>
        <v>3.0000462768554611E-2</v>
      </c>
      <c r="I49" s="29">
        <f t="shared" si="7"/>
        <v>1.6302418405197035E-2</v>
      </c>
      <c r="J49" s="31">
        <f t="shared" si="1"/>
        <v>2.1859837232440754E-2</v>
      </c>
      <c r="K49" s="74">
        <f t="shared" si="2"/>
        <v>0.50535946305500745</v>
      </c>
    </row>
    <row r="50" spans="2:11" x14ac:dyDescent="0.25">
      <c r="B50" s="116"/>
      <c r="C50" s="28">
        <v>2051</v>
      </c>
      <c r="D50" s="29">
        <f t="shared" si="3"/>
        <v>0.33558534394026751</v>
      </c>
      <c r="E50" s="29">
        <f t="shared" si="4"/>
        <v>0.48530803585207893</v>
      </c>
      <c r="F50" s="29">
        <f t="shared" si="5"/>
        <v>0.68149639077100443</v>
      </c>
      <c r="G50" s="29">
        <f t="shared" si="8"/>
        <v>0.45949377862590457</v>
      </c>
      <c r="H50" s="29">
        <f t="shared" si="6"/>
        <v>3.0660472949462812E-2</v>
      </c>
      <c r="I50" s="29">
        <f t="shared" si="7"/>
        <v>1.6661071610111371E-2</v>
      </c>
      <c r="J50" s="31">
        <f t="shared" si="1"/>
        <v>2.2974688931295228E-2</v>
      </c>
      <c r="K50" s="74">
        <f t="shared" si="2"/>
        <v>0.52979001211677401</v>
      </c>
    </row>
    <row r="51" spans="2:11" x14ac:dyDescent="0.25">
      <c r="B51" s="116"/>
      <c r="C51" s="28">
        <v>2052</v>
      </c>
      <c r="D51" s="29">
        <f t="shared" si="3"/>
        <v>0.35270019648122114</v>
      </c>
      <c r="E51" s="29">
        <f t="shared" si="4"/>
        <v>0.51005874568053489</v>
      </c>
      <c r="F51" s="29">
        <f t="shared" si="5"/>
        <v>0.71625270670032559</v>
      </c>
      <c r="G51" s="29">
        <f t="shared" si="8"/>
        <v>0.48292796133582572</v>
      </c>
      <c r="H51" s="29">
        <f t="shared" si="6"/>
        <v>3.1335003354350993E-2</v>
      </c>
      <c r="I51" s="29">
        <f t="shared" si="7"/>
        <v>1.702761518553382E-2</v>
      </c>
      <c r="J51" s="31">
        <f t="shared" si="1"/>
        <v>2.4146398066791287E-2</v>
      </c>
      <c r="K51" s="74">
        <f t="shared" si="2"/>
        <v>0.5554369779425018</v>
      </c>
    </row>
    <row r="52" spans="2:11" x14ac:dyDescent="0.25">
      <c r="B52" s="116"/>
      <c r="C52" s="28">
        <v>2053</v>
      </c>
      <c r="D52" s="29">
        <f t="shared" si="3"/>
        <v>0.37068790650176342</v>
      </c>
      <c r="E52" s="29">
        <f t="shared" si="4"/>
        <v>0.53607174171024208</v>
      </c>
      <c r="F52" s="29">
        <f t="shared" si="5"/>
        <v>0.7527815947420422</v>
      </c>
      <c r="G52" s="29">
        <f t="shared" si="8"/>
        <v>0.50755728736395278</v>
      </c>
      <c r="H52" s="29">
        <f t="shared" si="6"/>
        <v>3.2024373428146714E-2</v>
      </c>
      <c r="I52" s="29">
        <f t="shared" si="7"/>
        <v>1.7402222719615563E-2</v>
      </c>
      <c r="J52" s="31">
        <f t="shared" si="1"/>
        <v>2.5377864368197639E-2</v>
      </c>
      <c r="K52" s="74">
        <f t="shared" si="2"/>
        <v>0.58236174787991268</v>
      </c>
    </row>
    <row r="53" spans="2:11" x14ac:dyDescent="0.25">
      <c r="B53" s="116"/>
      <c r="C53" s="28">
        <v>2054</v>
      </c>
      <c r="D53" s="29">
        <f t="shared" si="3"/>
        <v>0.38959298973335332</v>
      </c>
      <c r="E53" s="29">
        <f t="shared" si="4"/>
        <v>0.56341140053746441</v>
      </c>
      <c r="F53" s="29">
        <f t="shared" si="5"/>
        <v>0.79117345607388634</v>
      </c>
      <c r="G53" s="29">
        <f t="shared" si="8"/>
        <v>0.5334427090195144</v>
      </c>
      <c r="H53" s="29">
        <f t="shared" si="6"/>
        <v>3.2728909643565944E-2</v>
      </c>
      <c r="I53" s="29">
        <f t="shared" si="7"/>
        <v>1.7785071619447108E-2</v>
      </c>
      <c r="J53" s="31">
        <f t="shared" si="1"/>
        <v>2.6672135450975722E-2</v>
      </c>
      <c r="K53" s="74">
        <f t="shared" si="2"/>
        <v>0.61062882573350319</v>
      </c>
    </row>
    <row r="54" spans="2:11" x14ac:dyDescent="0.25">
      <c r="B54" s="116"/>
      <c r="C54" s="28">
        <v>2055</v>
      </c>
      <c r="D54" s="29">
        <f t="shared" si="3"/>
        <v>0.40946223220975431</v>
      </c>
      <c r="E54" s="29">
        <f t="shared" si="4"/>
        <v>0.59214538196487509</v>
      </c>
      <c r="F54" s="29">
        <f t="shared" si="5"/>
        <v>0.83152330233365446</v>
      </c>
      <c r="G54" s="29">
        <f t="shared" si="8"/>
        <v>0.56064828717950954</v>
      </c>
      <c r="H54" s="29">
        <f t="shared" si="6"/>
        <v>3.3448945655724392E-2</v>
      </c>
      <c r="I54" s="29">
        <f t="shared" si="7"/>
        <v>1.8176343195074943E-2</v>
      </c>
      <c r="J54" s="31">
        <f t="shared" si="1"/>
        <v>2.803241435897548E-2</v>
      </c>
      <c r="K54" s="74">
        <f t="shared" si="2"/>
        <v>0.64030599038928437</v>
      </c>
    </row>
    <row r="55" spans="2:11" x14ac:dyDescent="0.25">
      <c r="B55" s="116"/>
      <c r="C55" s="28">
        <v>2056</v>
      </c>
      <c r="D55" s="29">
        <f t="shared" si="3"/>
        <v>0.43034480605245173</v>
      </c>
      <c r="E55" s="29">
        <f t="shared" si="4"/>
        <v>0.62234479644508367</v>
      </c>
      <c r="F55" s="29">
        <f t="shared" si="5"/>
        <v>0.87393099075267078</v>
      </c>
      <c r="G55" s="29">
        <f t="shared" si="8"/>
        <v>0.58924134982566445</v>
      </c>
      <c r="H55" s="29">
        <f t="shared" si="6"/>
        <v>3.4184822460150331E-2</v>
      </c>
      <c r="I55" s="29">
        <f t="shared" si="7"/>
        <v>1.8576222745366591E-2</v>
      </c>
      <c r="J55" s="31">
        <f t="shared" si="1"/>
        <v>2.9462067491283224E-2</v>
      </c>
      <c r="K55" s="74">
        <f t="shared" si="2"/>
        <v>0.67146446252246461</v>
      </c>
    </row>
    <row r="56" spans="2:11" x14ac:dyDescent="0.25">
      <c r="B56" s="116"/>
      <c r="C56" s="28">
        <v>2057</v>
      </c>
      <c r="D56" s="29">
        <f t="shared" si="3"/>
        <v>0.45229239116112674</v>
      </c>
      <c r="E56" s="29">
        <f t="shared" si="4"/>
        <v>0.65408438106378286</v>
      </c>
      <c r="F56" s="29">
        <f t="shared" si="5"/>
        <v>0.91850147128105697</v>
      </c>
      <c r="G56" s="29">
        <f t="shared" si="8"/>
        <v>0.6192926586667733</v>
      </c>
      <c r="H56" s="29">
        <f t="shared" si="6"/>
        <v>3.493688855427364E-2</v>
      </c>
      <c r="I56" s="29">
        <f t="shared" si="7"/>
        <v>1.8984899645764657E-2</v>
      </c>
      <c r="J56" s="31">
        <f t="shared" si="1"/>
        <v>3.0964632933338666E-2</v>
      </c>
      <c r="K56" s="74">
        <f t="shared" si="2"/>
        <v>0.70417907980015026</v>
      </c>
    </row>
    <row r="57" spans="2:11" x14ac:dyDescent="0.25">
      <c r="B57" s="116"/>
      <c r="C57" s="44">
        <v>2058</v>
      </c>
      <c r="D57" s="45">
        <f t="shared" si="3"/>
        <v>0.47535930311034419</v>
      </c>
      <c r="E57" s="45">
        <f t="shared" si="4"/>
        <v>0.68744268449803569</v>
      </c>
      <c r="F57" s="45">
        <f t="shared" si="5"/>
        <v>0.96534504631639084</v>
      </c>
      <c r="G57" s="45">
        <f t="shared" si="8"/>
        <v>0.6508765842587787</v>
      </c>
      <c r="H57" s="45">
        <f t="shared" si="6"/>
        <v>3.570550010246766E-2</v>
      </c>
      <c r="I57" s="45">
        <f t="shared" si="7"/>
        <v>1.9402567437971481E-2</v>
      </c>
      <c r="J57" s="46">
        <f t="shared" si="1"/>
        <v>3.2543829212938934E-2</v>
      </c>
      <c r="K57" s="75">
        <f t="shared" si="2"/>
        <v>0.73852848101215673</v>
      </c>
    </row>
    <row r="58" spans="2:11" x14ac:dyDescent="0.25">
      <c r="J58" s="2"/>
      <c r="K58" s="2"/>
    </row>
  </sheetData>
  <mergeCells count="8">
    <mergeCell ref="M2:N2"/>
    <mergeCell ref="M7:N7"/>
    <mergeCell ref="M12:O12"/>
    <mergeCell ref="B5:B17"/>
    <mergeCell ref="B18:B57"/>
    <mergeCell ref="C3:C4"/>
    <mergeCell ref="H5:K16"/>
    <mergeCell ref="C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G21"/>
  <sheetViews>
    <sheetView showGridLines="0" topLeftCell="A31" zoomScale="115" zoomScaleNormal="115" workbookViewId="0">
      <selection activeCell="J57" sqref="J57"/>
    </sheetView>
  </sheetViews>
  <sheetFormatPr defaultColWidth="8.85546875" defaultRowHeight="15" x14ac:dyDescent="0.25"/>
  <cols>
    <col min="4" max="4" width="10.42578125" bestFit="1" customWidth="1"/>
  </cols>
  <sheetData>
    <row r="2" spans="2:7" x14ac:dyDescent="0.25">
      <c r="B2" s="36" t="s">
        <v>112</v>
      </c>
      <c r="C2" s="40">
        <v>0.503</v>
      </c>
      <c r="D2" s="41" t="s">
        <v>109</v>
      </c>
    </row>
    <row r="3" spans="2:7" x14ac:dyDescent="0.25">
      <c r="B3" s="33" t="s">
        <v>110</v>
      </c>
      <c r="C3" s="54">
        <v>0.25</v>
      </c>
      <c r="D3" s="55" t="s">
        <v>109</v>
      </c>
    </row>
    <row r="4" spans="2:7" x14ac:dyDescent="0.25">
      <c r="B4" s="26" t="s">
        <v>111</v>
      </c>
      <c r="C4" s="42">
        <v>0.247</v>
      </c>
      <c r="D4" s="43" t="s">
        <v>109</v>
      </c>
    </row>
    <row r="6" spans="2:7" x14ac:dyDescent="0.25">
      <c r="B6" s="124" t="s">
        <v>105</v>
      </c>
      <c r="C6" s="56" t="s">
        <v>106</v>
      </c>
      <c r="D6" s="56" t="s">
        <v>108</v>
      </c>
      <c r="E6" s="56" t="s">
        <v>110</v>
      </c>
      <c r="F6" s="57" t="s">
        <v>111</v>
      </c>
      <c r="G6" s="71" t="s">
        <v>179</v>
      </c>
    </row>
    <row r="7" spans="2:7" x14ac:dyDescent="0.25">
      <c r="B7" s="125"/>
      <c r="C7" s="10" t="s">
        <v>107</v>
      </c>
      <c r="D7" s="10" t="s">
        <v>107</v>
      </c>
      <c r="E7" s="10" t="s">
        <v>107</v>
      </c>
      <c r="F7" s="58" t="s">
        <v>107</v>
      </c>
      <c r="G7" s="71" t="s">
        <v>107</v>
      </c>
    </row>
    <row r="8" spans="2:7" x14ac:dyDescent="0.25">
      <c r="B8" s="28">
        <v>1</v>
      </c>
      <c r="C8" s="59">
        <v>219.15</v>
      </c>
      <c r="D8" s="60">
        <f>C8*$C$2</f>
        <v>110.23245</v>
      </c>
      <c r="E8" s="60">
        <f>C8*$C$3</f>
        <v>54.787500000000001</v>
      </c>
      <c r="F8" s="61">
        <f>C8*$C$4</f>
        <v>54.130050000000004</v>
      </c>
      <c r="G8" s="72">
        <f>D8*$D$20+E8*$E$20+F8*$F$20</f>
        <v>148.254975</v>
      </c>
    </row>
    <row r="9" spans="2:7" x14ac:dyDescent="0.25">
      <c r="B9" s="28">
        <v>2</v>
      </c>
      <c r="C9" s="59">
        <v>238.72</v>
      </c>
      <c r="D9" s="60">
        <f t="shared" ref="D9:D19" si="0">C9*$C$2</f>
        <v>120.07616</v>
      </c>
      <c r="E9" s="60">
        <f t="shared" ref="E9:E19" si="1">C9*$C$3</f>
        <v>59.68</v>
      </c>
      <c r="F9" s="61">
        <f t="shared" ref="F9:F19" si="2">C9*$C$4</f>
        <v>58.963839999999998</v>
      </c>
      <c r="G9" s="72">
        <f t="shared" ref="G9:G19" si="3">D9*$D$20+E9*$E$20+F9*$F$20</f>
        <v>161.49408</v>
      </c>
    </row>
    <row r="10" spans="2:7" x14ac:dyDescent="0.25">
      <c r="B10" s="28">
        <v>3</v>
      </c>
      <c r="C10" s="59">
        <v>292.2</v>
      </c>
      <c r="D10" s="60">
        <f t="shared" si="0"/>
        <v>146.97659999999999</v>
      </c>
      <c r="E10" s="60">
        <f t="shared" si="1"/>
        <v>73.05</v>
      </c>
      <c r="F10" s="61">
        <f t="shared" si="2"/>
        <v>72.173400000000001</v>
      </c>
      <c r="G10" s="72">
        <f t="shared" si="3"/>
        <v>197.67329999999998</v>
      </c>
    </row>
    <row r="11" spans="2:7" x14ac:dyDescent="0.25">
      <c r="B11" s="28">
        <v>4</v>
      </c>
      <c r="C11" s="59">
        <v>365.25</v>
      </c>
      <c r="D11" s="60">
        <f t="shared" si="0"/>
        <v>183.72075000000001</v>
      </c>
      <c r="E11" s="60">
        <f t="shared" si="1"/>
        <v>91.3125</v>
      </c>
      <c r="F11" s="61">
        <f t="shared" si="2"/>
        <v>90.216750000000005</v>
      </c>
      <c r="G11" s="72">
        <f t="shared" si="3"/>
        <v>247.09162500000002</v>
      </c>
    </row>
    <row r="12" spans="2:7" x14ac:dyDescent="0.25">
      <c r="B12" s="28">
        <v>5</v>
      </c>
      <c r="C12" s="59">
        <v>438.3</v>
      </c>
      <c r="D12" s="60">
        <f t="shared" si="0"/>
        <v>220.4649</v>
      </c>
      <c r="E12" s="60">
        <f t="shared" si="1"/>
        <v>109.575</v>
      </c>
      <c r="F12" s="61">
        <f t="shared" si="2"/>
        <v>108.26010000000001</v>
      </c>
      <c r="G12" s="72">
        <f t="shared" si="3"/>
        <v>296.50995</v>
      </c>
    </row>
    <row r="13" spans="2:7" x14ac:dyDescent="0.25">
      <c r="B13" s="28">
        <v>6</v>
      </c>
      <c r="C13" s="59">
        <v>491.78</v>
      </c>
      <c r="D13" s="60">
        <f t="shared" si="0"/>
        <v>247.36533999999997</v>
      </c>
      <c r="E13" s="60">
        <f t="shared" si="1"/>
        <v>122.94499999999999</v>
      </c>
      <c r="F13" s="61">
        <f t="shared" si="2"/>
        <v>121.46965999999999</v>
      </c>
      <c r="G13" s="72">
        <f t="shared" si="3"/>
        <v>332.68916999999999</v>
      </c>
    </row>
    <row r="14" spans="2:7" x14ac:dyDescent="0.25">
      <c r="B14" s="28">
        <v>7</v>
      </c>
      <c r="C14" s="59">
        <v>511.35</v>
      </c>
      <c r="D14" s="60">
        <f t="shared" si="0"/>
        <v>257.20904999999999</v>
      </c>
      <c r="E14" s="60">
        <f t="shared" si="1"/>
        <v>127.83750000000001</v>
      </c>
      <c r="F14" s="61">
        <f t="shared" si="2"/>
        <v>126.30345</v>
      </c>
      <c r="G14" s="72">
        <f t="shared" si="3"/>
        <v>345.92827499999999</v>
      </c>
    </row>
    <row r="15" spans="2:7" x14ac:dyDescent="0.25">
      <c r="B15" s="28">
        <v>8</v>
      </c>
      <c r="C15" s="59">
        <v>491.78</v>
      </c>
      <c r="D15" s="60">
        <f t="shared" si="0"/>
        <v>247.36533999999997</v>
      </c>
      <c r="E15" s="60">
        <f t="shared" si="1"/>
        <v>122.94499999999999</v>
      </c>
      <c r="F15" s="61">
        <f t="shared" si="2"/>
        <v>121.46965999999999</v>
      </c>
      <c r="G15" s="72">
        <f t="shared" si="3"/>
        <v>332.68916999999999</v>
      </c>
    </row>
    <row r="16" spans="2:7" x14ac:dyDescent="0.25">
      <c r="B16" s="28">
        <v>9</v>
      </c>
      <c r="C16" s="59">
        <v>438.3</v>
      </c>
      <c r="D16" s="60">
        <f t="shared" si="0"/>
        <v>220.4649</v>
      </c>
      <c r="E16" s="60">
        <f t="shared" si="1"/>
        <v>109.575</v>
      </c>
      <c r="F16" s="61">
        <f t="shared" si="2"/>
        <v>108.26010000000001</v>
      </c>
      <c r="G16" s="72">
        <f t="shared" si="3"/>
        <v>296.50995</v>
      </c>
    </row>
    <row r="17" spans="2:7" x14ac:dyDescent="0.25">
      <c r="B17" s="28">
        <v>10</v>
      </c>
      <c r="C17" s="59">
        <v>365.25</v>
      </c>
      <c r="D17" s="60">
        <f t="shared" si="0"/>
        <v>183.72075000000001</v>
      </c>
      <c r="E17" s="60">
        <f t="shared" si="1"/>
        <v>91.3125</v>
      </c>
      <c r="F17" s="61">
        <f t="shared" si="2"/>
        <v>90.216750000000005</v>
      </c>
      <c r="G17" s="72">
        <f t="shared" si="3"/>
        <v>247.09162500000002</v>
      </c>
    </row>
    <row r="18" spans="2:7" x14ac:dyDescent="0.25">
      <c r="B18" s="28">
        <v>11</v>
      </c>
      <c r="C18" s="59">
        <v>292.2</v>
      </c>
      <c r="D18" s="60">
        <f t="shared" si="0"/>
        <v>146.97659999999999</v>
      </c>
      <c r="E18" s="60">
        <f t="shared" si="1"/>
        <v>73.05</v>
      </c>
      <c r="F18" s="61">
        <f t="shared" si="2"/>
        <v>72.173400000000001</v>
      </c>
      <c r="G18" s="72">
        <f t="shared" si="3"/>
        <v>197.67329999999998</v>
      </c>
    </row>
    <row r="19" spans="2:7" x14ac:dyDescent="0.25">
      <c r="B19" s="62">
        <v>12</v>
      </c>
      <c r="C19" s="20">
        <v>238.72</v>
      </c>
      <c r="D19" s="19">
        <f t="shared" si="0"/>
        <v>120.07616</v>
      </c>
      <c r="E19" s="19">
        <f t="shared" si="1"/>
        <v>59.68</v>
      </c>
      <c r="F19" s="63">
        <f t="shared" si="2"/>
        <v>58.963839999999998</v>
      </c>
      <c r="G19" s="72">
        <f t="shared" si="3"/>
        <v>161.49408</v>
      </c>
    </row>
    <row r="20" spans="2:7" x14ac:dyDescent="0.25">
      <c r="B20" s="122" t="s">
        <v>113</v>
      </c>
      <c r="C20" s="123"/>
      <c r="D20" s="51">
        <v>0.85</v>
      </c>
      <c r="E20" s="52">
        <v>0.65</v>
      </c>
      <c r="F20" s="52">
        <v>0.35</v>
      </c>
    </row>
    <row r="21" spans="2:7" x14ac:dyDescent="0.25">
      <c r="C21" s="18"/>
      <c r="D21" s="18"/>
    </row>
  </sheetData>
  <mergeCells count="2">
    <mergeCell ref="B20:C20"/>
    <mergeCell ref="B6:B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E21"/>
  <sheetViews>
    <sheetView showGridLines="0" topLeftCell="A22" zoomScale="135" zoomScaleNormal="135" workbookViewId="0">
      <selection activeCell="K14" sqref="K14"/>
    </sheetView>
  </sheetViews>
  <sheetFormatPr defaultColWidth="8.85546875" defaultRowHeight="15" x14ac:dyDescent="0.25"/>
  <cols>
    <col min="2" max="2" width="15.42578125" customWidth="1"/>
    <col min="3" max="3" width="8.42578125" bestFit="1" customWidth="1"/>
    <col min="4" max="4" width="9.42578125" bestFit="1" customWidth="1"/>
  </cols>
  <sheetData>
    <row r="2" spans="2:4" x14ac:dyDescent="0.25">
      <c r="B2" s="36" t="s">
        <v>118</v>
      </c>
      <c r="C2" s="64">
        <v>8300</v>
      </c>
      <c r="D2" s="41" t="s">
        <v>119</v>
      </c>
    </row>
    <row r="3" spans="2:4" x14ac:dyDescent="0.25">
      <c r="B3" s="33" t="s">
        <v>117</v>
      </c>
      <c r="C3" s="65">
        <v>0.1</v>
      </c>
      <c r="D3" s="55"/>
    </row>
    <row r="4" spans="2:4" x14ac:dyDescent="0.25">
      <c r="B4" s="33" t="s">
        <v>120</v>
      </c>
      <c r="C4" s="60">
        <f>$C$2/12*C3</f>
        <v>69.166666666666671</v>
      </c>
      <c r="D4" s="55" t="s">
        <v>119</v>
      </c>
    </row>
    <row r="5" spans="2:4" x14ac:dyDescent="0.25">
      <c r="B5" s="26" t="s">
        <v>121</v>
      </c>
      <c r="C5" s="19">
        <v>691.67</v>
      </c>
      <c r="D5" s="43" t="s">
        <v>119</v>
      </c>
    </row>
    <row r="7" spans="2:4" x14ac:dyDescent="0.25">
      <c r="B7" s="66"/>
      <c r="C7" s="126" t="s">
        <v>114</v>
      </c>
      <c r="D7" s="127"/>
    </row>
    <row r="8" spans="2:4" x14ac:dyDescent="0.25">
      <c r="B8" s="26" t="s">
        <v>105</v>
      </c>
      <c r="C8" s="12" t="s">
        <v>115</v>
      </c>
      <c r="D8" s="67" t="s">
        <v>116</v>
      </c>
    </row>
    <row r="9" spans="2:4" x14ac:dyDescent="0.25">
      <c r="B9" s="28">
        <v>1</v>
      </c>
      <c r="C9" s="60">
        <f>$C$2/12</f>
        <v>691.66666666666663</v>
      </c>
      <c r="D9" s="61">
        <f>$C$4*COS(B9*PI()/6)+$C$5</f>
        <v>751.57009042842367</v>
      </c>
    </row>
    <row r="10" spans="2:4" x14ac:dyDescent="0.25">
      <c r="B10" s="28">
        <v>2</v>
      </c>
      <c r="C10" s="60">
        <f t="shared" ref="C10:C20" si="0">$C$2/12</f>
        <v>691.66666666666663</v>
      </c>
      <c r="D10" s="61">
        <f t="shared" ref="D10:D20" si="1">$C$4*COS(B10*PI()/6)+$C$5</f>
        <v>726.25333333333333</v>
      </c>
    </row>
    <row r="11" spans="2:4" x14ac:dyDescent="0.25">
      <c r="B11" s="28">
        <v>3</v>
      </c>
      <c r="C11" s="60">
        <f t="shared" si="0"/>
        <v>691.66666666666663</v>
      </c>
      <c r="D11" s="61">
        <f t="shared" si="1"/>
        <v>691.67</v>
      </c>
    </row>
    <row r="12" spans="2:4" x14ac:dyDescent="0.25">
      <c r="B12" s="28">
        <v>4</v>
      </c>
      <c r="C12" s="60">
        <f t="shared" si="0"/>
        <v>691.66666666666663</v>
      </c>
      <c r="D12" s="61">
        <f t="shared" si="1"/>
        <v>657.08666666666659</v>
      </c>
    </row>
    <row r="13" spans="2:4" x14ac:dyDescent="0.25">
      <c r="B13" s="28">
        <v>5</v>
      </c>
      <c r="C13" s="60">
        <f t="shared" si="0"/>
        <v>691.66666666666663</v>
      </c>
      <c r="D13" s="61">
        <f t="shared" si="1"/>
        <v>631.76990957157625</v>
      </c>
    </row>
    <row r="14" spans="2:4" x14ac:dyDescent="0.25">
      <c r="B14" s="28">
        <v>6</v>
      </c>
      <c r="C14" s="60">
        <f t="shared" si="0"/>
        <v>691.66666666666663</v>
      </c>
      <c r="D14" s="61">
        <f t="shared" si="1"/>
        <v>622.50333333333333</v>
      </c>
    </row>
    <row r="15" spans="2:4" x14ac:dyDescent="0.25">
      <c r="B15" s="28">
        <v>7</v>
      </c>
      <c r="C15" s="60">
        <f t="shared" si="0"/>
        <v>691.66666666666663</v>
      </c>
      <c r="D15" s="61">
        <f t="shared" si="1"/>
        <v>631.76990957157625</v>
      </c>
    </row>
    <row r="16" spans="2:4" x14ac:dyDescent="0.25">
      <c r="B16" s="28">
        <v>8</v>
      </c>
      <c r="C16" s="60">
        <f t="shared" si="0"/>
        <v>691.66666666666663</v>
      </c>
      <c r="D16" s="61">
        <f t="shared" si="1"/>
        <v>657.08666666666659</v>
      </c>
    </row>
    <row r="17" spans="2:5" x14ac:dyDescent="0.25">
      <c r="B17" s="28">
        <v>9</v>
      </c>
      <c r="C17" s="60">
        <f t="shared" si="0"/>
        <v>691.66666666666663</v>
      </c>
      <c r="D17" s="61">
        <f t="shared" si="1"/>
        <v>691.67</v>
      </c>
    </row>
    <row r="18" spans="2:5" x14ac:dyDescent="0.25">
      <c r="B18" s="28">
        <v>10</v>
      </c>
      <c r="C18" s="60">
        <f t="shared" si="0"/>
        <v>691.66666666666663</v>
      </c>
      <c r="D18" s="61">
        <f t="shared" si="1"/>
        <v>726.25333333333333</v>
      </c>
    </row>
    <row r="19" spans="2:5" x14ac:dyDescent="0.25">
      <c r="B19" s="28">
        <v>11</v>
      </c>
      <c r="C19" s="60">
        <f t="shared" si="0"/>
        <v>691.66666666666663</v>
      </c>
      <c r="D19" s="61">
        <f t="shared" si="1"/>
        <v>751.57009042842367</v>
      </c>
    </row>
    <row r="20" spans="2:5" x14ac:dyDescent="0.25">
      <c r="B20" s="62">
        <v>12</v>
      </c>
      <c r="C20" s="19">
        <f t="shared" si="0"/>
        <v>691.66666666666663</v>
      </c>
      <c r="D20" s="63">
        <f t="shared" si="1"/>
        <v>760.83666666666659</v>
      </c>
    </row>
    <row r="21" spans="2:5" x14ac:dyDescent="0.25">
      <c r="B21" s="26" t="s">
        <v>122</v>
      </c>
      <c r="C21" s="19">
        <f>SUM(C9:C20)</f>
        <v>8300.0000000000018</v>
      </c>
      <c r="D21" s="63">
        <f>SUM(D9:D20)</f>
        <v>8300.0400000000009</v>
      </c>
      <c r="E21" t="s">
        <v>119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B96-2ADC-3042-9646-21FE100CA32C}">
  <sheetPr>
    <tabColor theme="9"/>
  </sheetPr>
  <dimension ref="B2:H8"/>
  <sheetViews>
    <sheetView showGridLines="0" zoomScale="170" zoomScaleNormal="170" workbookViewId="0">
      <selection activeCell="G7" sqref="G7"/>
    </sheetView>
  </sheetViews>
  <sheetFormatPr defaultColWidth="11.42578125" defaultRowHeight="15" x14ac:dyDescent="0.25"/>
  <cols>
    <col min="2" max="2" width="13.7109375" customWidth="1"/>
    <col min="3" max="3" width="7.42578125" customWidth="1"/>
    <col min="6" max="6" width="11.140625" bestFit="1" customWidth="1"/>
    <col min="7" max="7" width="15.7109375" bestFit="1" customWidth="1"/>
    <col min="8" max="8" width="12.140625" bestFit="1" customWidth="1"/>
  </cols>
  <sheetData>
    <row r="2" spans="2:8" ht="23.25" x14ac:dyDescent="0.35">
      <c r="B2" s="78" t="s">
        <v>188</v>
      </c>
    </row>
    <row r="4" spans="2:8" x14ac:dyDescent="0.25">
      <c r="B4" s="77" t="s">
        <v>191</v>
      </c>
      <c r="C4" s="77"/>
      <c r="D4" s="77"/>
      <c r="E4" s="77"/>
      <c r="F4" s="77"/>
      <c r="G4" s="77"/>
      <c r="H4" s="77"/>
    </row>
    <row r="5" spans="2:8" x14ac:dyDescent="0.25">
      <c r="B5" t="s">
        <v>189</v>
      </c>
      <c r="C5" s="76">
        <v>0.75</v>
      </c>
      <c r="D5" t="s">
        <v>8</v>
      </c>
      <c r="E5" t="s">
        <v>199</v>
      </c>
      <c r="F5" s="3">
        <v>0.3</v>
      </c>
      <c r="G5" t="s">
        <v>200</v>
      </c>
      <c r="H5" s="2">
        <v>10000</v>
      </c>
    </row>
    <row r="6" spans="2:8" x14ac:dyDescent="0.25">
      <c r="B6" t="s">
        <v>190</v>
      </c>
      <c r="C6" s="76">
        <v>0.15</v>
      </c>
      <c r="D6" t="s">
        <v>8</v>
      </c>
      <c r="F6" s="2"/>
    </row>
    <row r="8" spans="2:8" x14ac:dyDescent="0.25">
      <c r="B8" t="s">
        <v>192</v>
      </c>
      <c r="C8" s="76">
        <v>0.08</v>
      </c>
      <c r="D8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sheetPr>
    <tabColor rgb="FF00B050"/>
  </sheetPr>
  <dimension ref="B3:M45"/>
  <sheetViews>
    <sheetView showGridLines="0" tabSelected="1" topLeftCell="A25" zoomScale="115" zoomScaleNormal="115" workbookViewId="0">
      <selection activeCell="E27" sqref="E27"/>
    </sheetView>
  </sheetViews>
  <sheetFormatPr defaultColWidth="8.85546875" defaultRowHeight="15" x14ac:dyDescent="0.25"/>
  <cols>
    <col min="2" max="2" width="5" bestFit="1" customWidth="1"/>
    <col min="3" max="3" width="6.42578125" bestFit="1" customWidth="1"/>
    <col min="4" max="4" width="11" bestFit="1" customWidth="1"/>
    <col min="5" max="5" width="11.28515625" bestFit="1" customWidth="1"/>
    <col min="6" max="6" width="11.42578125" bestFit="1" customWidth="1"/>
    <col min="7" max="9" width="11.5703125" bestFit="1" customWidth="1"/>
    <col min="10" max="10" width="11.140625" bestFit="1" customWidth="1"/>
  </cols>
  <sheetData>
    <row r="3" spans="2:13" x14ac:dyDescent="0.25">
      <c r="B3" s="128" t="s">
        <v>65</v>
      </c>
      <c r="C3" s="85" t="s">
        <v>70</v>
      </c>
      <c r="D3" s="85" t="s">
        <v>103</v>
      </c>
      <c r="E3" s="93" t="s">
        <v>235</v>
      </c>
      <c r="F3" s="1"/>
      <c r="G3" s="139"/>
      <c r="H3" s="139"/>
      <c r="I3" s="140" t="s">
        <v>212</v>
      </c>
      <c r="J3" s="140"/>
      <c r="M3" t="s">
        <v>104</v>
      </c>
    </row>
    <row r="4" spans="2:13" x14ac:dyDescent="0.25">
      <c r="B4" s="129"/>
      <c r="C4" s="10" t="s">
        <v>71</v>
      </c>
      <c r="D4" s="10" t="s">
        <v>68</v>
      </c>
      <c r="E4" s="94" t="s">
        <v>211</v>
      </c>
      <c r="G4" s="142" t="s">
        <v>233</v>
      </c>
      <c r="H4" s="142" t="s">
        <v>68</v>
      </c>
      <c r="I4" s="142" t="s">
        <v>211</v>
      </c>
      <c r="J4" s="143"/>
    </row>
    <row r="5" spans="2:13" x14ac:dyDescent="0.25">
      <c r="B5">
        <v>0</v>
      </c>
      <c r="C5">
        <v>0</v>
      </c>
      <c r="D5" s="7">
        <v>0</v>
      </c>
      <c r="E5" s="8">
        <f>D5/(1+Constants!$D$27)^B5</f>
        <v>0</v>
      </c>
      <c r="G5" t="s">
        <v>73</v>
      </c>
      <c r="H5" s="2">
        <f>NPV(Constants!$D$28,D6:D10)</f>
        <v>5057.565959640091</v>
      </c>
      <c r="I5" s="2">
        <f>NPV(Constants!$D$28,E6:E10)</f>
        <v>4764.8942028574611</v>
      </c>
      <c r="J5" t="s">
        <v>213</v>
      </c>
    </row>
    <row r="6" spans="2:13" x14ac:dyDescent="0.25">
      <c r="B6">
        <v>1</v>
      </c>
      <c r="C6" s="11">
        <f>SUM(Consumption!$D$9:$D$20)</f>
        <v>8300.0400000000009</v>
      </c>
      <c r="D6" s="7">
        <f>C6*'Grid Power'!K18</f>
        <v>1010.9502172257601</v>
      </c>
      <c r="E6" s="8">
        <f>D6/(1+Constants!$D$27)^B6</f>
        <v>991.12766394682353</v>
      </c>
      <c r="G6" t="s">
        <v>74</v>
      </c>
      <c r="H6" s="2">
        <f>NPV(Constants!$D$28,D6:D25)</f>
        <v>22837.989575851912</v>
      </c>
      <c r="I6" s="2">
        <f>NPV(Constants!$D$28,E6:E25)</f>
        <v>18478.410159694031</v>
      </c>
      <c r="J6" t="s">
        <v>213</v>
      </c>
    </row>
    <row r="7" spans="2:13" x14ac:dyDescent="0.25">
      <c r="B7">
        <v>2</v>
      </c>
      <c r="C7" s="11">
        <f>SUM(Consumption!$D$9:$D$20)</f>
        <v>8300.0400000000009</v>
      </c>
      <c r="D7" s="7">
        <f>C7*'Grid Power'!K19</f>
        <v>1056.8318151002288</v>
      </c>
      <c r="E7" s="8">
        <f>D7/(1+Constants!$D$27)^B7</f>
        <v>1015.7937476934148</v>
      </c>
      <c r="G7" s="77" t="s">
        <v>75</v>
      </c>
      <c r="H7" s="138">
        <f>NPV(Constants!$D$28,D6:D45)</f>
        <v>54766.122515521602</v>
      </c>
      <c r="I7" s="138">
        <f>NPV(Constants!$D$28,E6:E45)</f>
        <v>35844.190316733766</v>
      </c>
      <c r="J7" s="77" t="s">
        <v>213</v>
      </c>
    </row>
    <row r="8" spans="2:13" x14ac:dyDescent="0.25">
      <c r="B8">
        <v>3</v>
      </c>
      <c r="C8" s="11">
        <f>SUM(Consumption!$D$9:$D$20)</f>
        <v>8300.0400000000009</v>
      </c>
      <c r="D8" s="7">
        <f>C8*'Grid Power'!K20</f>
        <v>1104.9284834758062</v>
      </c>
      <c r="E8" s="8">
        <f>D8/(1+Constants!$D$27)^B8</f>
        <v>1041.1987880564473</v>
      </c>
    </row>
    <row r="9" spans="2:13" x14ac:dyDescent="0.25">
      <c r="B9">
        <v>4</v>
      </c>
      <c r="C9" s="11">
        <f>SUM(Consumption!$D$9:$D$20)</f>
        <v>8300.0400000000009</v>
      </c>
      <c r="D9" s="7">
        <f>C9*'Grid Power'!K21</f>
        <v>1155.3504433462585</v>
      </c>
      <c r="E9" s="8">
        <f>D9/(1+Constants!$D$27)^B9</f>
        <v>1067.3652225431463</v>
      </c>
      <c r="G9" s="110" t="s">
        <v>214</v>
      </c>
      <c r="H9" s="110"/>
    </row>
    <row r="10" spans="2:13" x14ac:dyDescent="0.25">
      <c r="B10" s="86">
        <v>5</v>
      </c>
      <c r="C10" s="87">
        <f>SUM(Consumption!$D$9:$D$20)</f>
        <v>8300.0400000000009</v>
      </c>
      <c r="D10" s="88">
        <f>C10*'Grid Power'!K22</f>
        <v>1208.213476528794</v>
      </c>
      <c r="E10" s="103">
        <f>D10/(1+Constants!$D$27)^B10</f>
        <v>1094.3161705438426</v>
      </c>
      <c r="G10" s="141" t="s">
        <v>233</v>
      </c>
      <c r="H10" s="141" t="s">
        <v>68</v>
      </c>
    </row>
    <row r="11" spans="2:13" x14ac:dyDescent="0.25">
      <c r="B11">
        <v>6</v>
      </c>
      <c r="C11" s="11">
        <f>SUM(Consumption!$D$9:$D$20)</f>
        <v>8300.0400000000009</v>
      </c>
      <c r="D11" s="7">
        <f>C11*'Grid Power'!K23</f>
        <v>1263.6392079362199</v>
      </c>
      <c r="E11" s="8">
        <f>D11/(1+Constants!$D$27)^B11</f>
        <v>1122.07545405579</v>
      </c>
      <c r="G11" t="s">
        <v>73</v>
      </c>
      <c r="H11" s="2">
        <f>PMT(Constants!$D$28,5,-'Analysis (Nothing)'!I5)</f>
        <v>1040.4364314340303</v>
      </c>
    </row>
    <row r="12" spans="2:13" x14ac:dyDescent="0.25">
      <c r="B12">
        <v>7</v>
      </c>
      <c r="C12" s="11">
        <f>SUM(Consumption!$D$9:$D$20)</f>
        <v>8300.0400000000009</v>
      </c>
      <c r="D12" s="7">
        <f>C12*'Grid Power'!K24</f>
        <v>1321.7554022157228</v>
      </c>
      <c r="E12" s="8">
        <f>D12/(1+Constants!$D$27)^B12</f>
        <v>1150.6676190368253</v>
      </c>
      <c r="G12" t="s">
        <v>74</v>
      </c>
      <c r="H12" s="2">
        <f>PMT(Constants!$D$28,20,-'Analysis (Nothing)'!I6)</f>
        <v>1242.0394141488248</v>
      </c>
    </row>
    <row r="13" spans="2:13" x14ac:dyDescent="0.25">
      <c r="B13">
        <v>8</v>
      </c>
      <c r="C13" s="11">
        <f>SUM(Consumption!$D$9:$D$20)</f>
        <v>8300.0400000000009</v>
      </c>
      <c r="D13" s="7">
        <f>C13*'Grid Power'!K25</f>
        <v>1382.6962754863248</v>
      </c>
      <c r="E13" s="8">
        <f>D13/(1+Constants!$D$27)^B13</f>
        <v>1180.1179574080081</v>
      </c>
      <c r="G13" s="77" t="s">
        <v>75</v>
      </c>
      <c r="H13" s="138">
        <f>PMT(Constants!$D$28,40,-'Analysis (Nothing)'!I7)</f>
        <v>1550.7049066602067</v>
      </c>
    </row>
    <row r="14" spans="2:13" x14ac:dyDescent="0.25">
      <c r="B14">
        <v>9</v>
      </c>
      <c r="C14" s="11">
        <f>SUM(Consumption!$D$9:$D$20)</f>
        <v>8300.0400000000009</v>
      </c>
      <c r="D14" s="7">
        <f>C14*'Grid Power'!K26</f>
        <v>1446.602822944395</v>
      </c>
      <c r="E14" s="8">
        <f>D14/(1+Constants!$D$27)^B14</f>
        <v>1210.4525297249754</v>
      </c>
      <c r="G14" s="2"/>
    </row>
    <row r="15" spans="2:13" x14ac:dyDescent="0.25">
      <c r="B15">
        <v>10</v>
      </c>
      <c r="C15" s="11">
        <f>SUM(Consumption!$D$9:$D$20)</f>
        <v>8300.0400000000009</v>
      </c>
      <c r="D15" s="7">
        <f>C15*'Grid Power'!K27</f>
        <v>1513.6231631458083</v>
      </c>
      <c r="E15" s="8">
        <f>D15/(1+Constants!$D$27)^B15</f>
        <v>1241.6981885383186</v>
      </c>
      <c r="G15" s="73"/>
    </row>
    <row r="16" spans="2:13" x14ac:dyDescent="0.25">
      <c r="B16">
        <v>11</v>
      </c>
      <c r="C16" s="11">
        <f>SUM(Consumption!$D$9:$D$20)</f>
        <v>8300.0400000000009</v>
      </c>
      <c r="D16" s="7">
        <f>C16*'Grid Power'!K28</f>
        <v>1583.9128998145811</v>
      </c>
      <c r="E16" s="8">
        <f>D16/(1+Constants!$D$27)^B16</f>
        <v>1273.8826024639402</v>
      </c>
      <c r="G16" s="2"/>
    </row>
    <row r="17" spans="2:5" x14ac:dyDescent="0.25">
      <c r="B17">
        <v>12</v>
      </c>
      <c r="C17" s="11">
        <f>SUM(Consumption!$D$9:$D$20)</f>
        <v>8300.0400000000009</v>
      </c>
      <c r="D17" s="7">
        <f>C17*'Grid Power'!K29</f>
        <v>1657.6355020711253</v>
      </c>
      <c r="E17" s="8">
        <f>D17/(1+Constants!$D$27)^B17</f>
        <v>1307.0342809849549</v>
      </c>
    </row>
    <row r="18" spans="2:5" x14ac:dyDescent="0.25">
      <c r="B18">
        <v>13</v>
      </c>
      <c r="C18" s="11">
        <f>SUM(Consumption!$D$9:$D$20)</f>
        <v>8300.0400000000009</v>
      </c>
      <c r="D18" s="7">
        <f>C18*'Grid Power'!K30</f>
        <v>1734.962704018805</v>
      </c>
      <c r="E18" s="8">
        <f>D18/(1+Constants!$D$27)^B18</f>
        <v>1341.1826000073775</v>
      </c>
    </row>
    <row r="19" spans="2:5" x14ac:dyDescent="0.25">
      <c r="B19">
        <v>14</v>
      </c>
      <c r="C19" s="11">
        <f>SUM(Consumption!$D$9:$D$20)</f>
        <v>8300.0400000000009</v>
      </c>
      <c r="D19" s="7">
        <f>C19*'Grid Power'!K31</f>
        <v>1816.0749246753412</v>
      </c>
      <c r="E19" s="8">
        <f>D19/(1+Constants!$D$27)^B19</f>
        <v>1376.3578281925002</v>
      </c>
    </row>
    <row r="20" spans="2:5" x14ac:dyDescent="0.25">
      <c r="B20">
        <v>15</v>
      </c>
      <c r="C20" s="11">
        <f>SUM(Consumption!$D$9:$D$20)</f>
        <v>8300.0400000000009</v>
      </c>
      <c r="D20" s="7">
        <f>C20*'Grid Power'!K32</f>
        <v>1901.161709285896</v>
      </c>
      <c r="E20" s="8">
        <f>D20/(1+Constants!$D$27)^B20</f>
        <v>1412.5911540895718</v>
      </c>
    </row>
    <row r="21" spans="2:5" x14ac:dyDescent="0.25">
      <c r="B21">
        <v>16</v>
      </c>
      <c r="C21" s="11">
        <f>SUM(Consumption!$D$9:$D$20)</f>
        <v>8300.0400000000009</v>
      </c>
      <c r="D21" s="7">
        <f>C21*'Grid Power'!K33</f>
        <v>1990.4221931075349</v>
      </c>
      <c r="E21" s="8">
        <f>D21/(1+Constants!$D$27)^B21</f>
        <v>1449.9147140930893</v>
      </c>
    </row>
    <row r="22" spans="2:5" x14ac:dyDescent="0.25">
      <c r="B22">
        <v>17</v>
      </c>
      <c r="C22" s="11">
        <f>SUM(Consumption!$D$9:$D$20)</f>
        <v>8300.0400000000009</v>
      </c>
      <c r="D22" s="7">
        <f>C22*'Grid Power'!K34</f>
        <v>2084.0655888103352</v>
      </c>
      <c r="E22" s="8">
        <f>D22/(1+Constants!$D$27)^B22</f>
        <v>1488.3616212497839</v>
      </c>
    </row>
    <row r="23" spans="2:5" x14ac:dyDescent="0.25">
      <c r="B23">
        <v>18</v>
      </c>
      <c r="C23" s="11">
        <f>SUM(Consumption!$D$9:$D$20)</f>
        <v>8300.0400000000009</v>
      </c>
      <c r="D23" s="7">
        <f>C23*'Grid Power'!K35</f>
        <v>2182.3116986987729</v>
      </c>
      <c r="E23" s="8">
        <f>D23/(1+Constants!$D$27)^B23</f>
        <v>1527.9659949411005</v>
      </c>
    </row>
    <row r="24" spans="2:5" x14ac:dyDescent="0.25">
      <c r="B24">
        <v>19</v>
      </c>
      <c r="C24" s="11">
        <f>SUM(Consumption!$D$9:$D$20)</f>
        <v>8300.0400000000009</v>
      </c>
      <c r="D24" s="7">
        <f>C24*'Grid Power'!K36</f>
        <v>2285.3914530184215</v>
      </c>
      <c r="E24" s="8">
        <f>D24/(1+Constants!$D$27)^B24</f>
        <v>1568.7629914677998</v>
      </c>
    </row>
    <row r="25" spans="2:5" x14ac:dyDescent="0.25">
      <c r="B25" s="86">
        <v>20</v>
      </c>
      <c r="C25" s="87">
        <f>SUM(Consumption!$D$9:$D$20)</f>
        <v>8300.0400000000009</v>
      </c>
      <c r="D25" s="88">
        <f>C25*'Grid Power'!K37</f>
        <v>2393.5474756774643</v>
      </c>
      <c r="E25" s="103">
        <f>D25/(1+Constants!$D$27)^B25</f>
        <v>1610.7888355640896</v>
      </c>
    </row>
    <row r="26" spans="2:5" x14ac:dyDescent="0.25">
      <c r="B26">
        <v>21</v>
      </c>
      <c r="C26" s="11">
        <f>SUM(Consumption!$D$9:$D$20)</f>
        <v>8300.0400000000009</v>
      </c>
      <c r="D26" s="7">
        <f>C26*'Grid Power'!K38</f>
        <v>2507.034678780331</v>
      </c>
      <c r="E26" s="8">
        <f>D26/(1+Constants!$D$27)^B26</f>
        <v>1654.08085286954</v>
      </c>
    </row>
    <row r="27" spans="2:5" x14ac:dyDescent="0.25">
      <c r="B27">
        <v>22</v>
      </c>
      <c r="C27" s="11">
        <f>SUM(Consumption!$D$9:$D$20)</f>
        <v>8300.0400000000009</v>
      </c>
      <c r="D27" s="7">
        <f>C27*'Grid Power'!K39</f>
        <v>2626.1208874419963</v>
      </c>
      <c r="E27" s="8">
        <f>D27/(1+Constants!$D$27)^B27</f>
        <v>1698.6775033878853</v>
      </c>
    </row>
    <row r="28" spans="2:5" x14ac:dyDescent="0.25">
      <c r="B28">
        <v>23</v>
      </c>
      <c r="C28" s="11">
        <f>SUM(Consumption!$D$9:$D$20)</f>
        <v>8300.0400000000009</v>
      </c>
      <c r="D28" s="7">
        <f>C28*'Grid Power'!K40</f>
        <v>2751.0874964263717</v>
      </c>
      <c r="E28" s="8">
        <f>D28/(1+Constants!$D$27)^B28</f>
        <v>1744.6184159627187</v>
      </c>
    </row>
    <row r="29" spans="2:5" x14ac:dyDescent="0.25">
      <c r="B29">
        <v>24</v>
      </c>
      <c r="C29" s="11">
        <f>SUM(Consumption!$D$9:$D$20)</f>
        <v>8300.0400000000009</v>
      </c>
      <c r="D29" s="7">
        <f>C29*'Grid Power'!K41</f>
        <v>2882.2301602308967</v>
      </c>
      <c r="E29" s="8">
        <f>D29/(1+Constants!$D$27)^B29</f>
        <v>1791.9444238009685</v>
      </c>
    </row>
    <row r="30" spans="2:5" x14ac:dyDescent="0.25">
      <c r="B30">
        <v>25</v>
      </c>
      <c r="C30" s="11">
        <f>SUM(Consumption!$D$9:$D$20)</f>
        <v>8300.0400000000009</v>
      </c>
      <c r="D30" s="7">
        <f>C30*'Grid Power'!K42</f>
        <v>3019.8595183221614</v>
      </c>
      <c r="E30" s="8">
        <f>D30/(1+Constants!$D$27)^B30</f>
        <v>1840.6976010760172</v>
      </c>
    </row>
    <row r="31" spans="2:5" x14ac:dyDescent="0.25">
      <c r="B31">
        <v>26</v>
      </c>
      <c r="C31" s="11">
        <f>SUM(Consumption!$D$9:$D$20)</f>
        <v>8300.0400000000009</v>
      </c>
      <c r="D31" s="7">
        <f>C31*'Grid Power'!K43</f>
        <v>3164.3019573143101</v>
      </c>
      <c r="E31" s="8">
        <f>D31/(1+Constants!$D$27)^B31</f>
        <v>1890.9213006432642</v>
      </c>
    </row>
    <row r="32" spans="2:5" x14ac:dyDescent="0.25">
      <c r="B32">
        <v>27</v>
      </c>
      <c r="C32" s="11">
        <f>SUM(Consumption!$D$9:$D$20)</f>
        <v>8300.0400000000009</v>
      </c>
      <c r="D32" s="7">
        <f>C32*'Grid Power'!K44</f>
        <v>3315.9004119733277</v>
      </c>
      <c r="E32" s="8">
        <f>D32/(1+Constants!$D$27)^B32</f>
        <v>1942.6601929019441</v>
      </c>
    </row>
    <row r="33" spans="2:5" x14ac:dyDescent="0.25">
      <c r="B33">
        <v>28</v>
      </c>
      <c r="C33" s="11">
        <f>SUM(Consumption!$D$9:$D$20)</f>
        <v>8300.0400000000009</v>
      </c>
      <c r="D33" s="7">
        <f>C33*'Grid Power'!K45</f>
        <v>3475.0152070263471</v>
      </c>
      <c r="E33" s="8">
        <f>D33/(1+Constants!$D$27)^B33</f>
        <v>1995.9603058380428</v>
      </c>
    </row>
    <row r="34" spans="2:5" x14ac:dyDescent="0.25">
      <c r="B34">
        <v>29</v>
      </c>
      <c r="C34" s="11">
        <f>SUM(Consumption!$D$9:$D$20)</f>
        <v>8300.0400000000009</v>
      </c>
      <c r="D34" s="7">
        <f>C34*'Grid Power'!K46</f>
        <v>3642.0249418560024</v>
      </c>
      <c r="E34" s="8">
        <f>D34/(1+Constants!$D$27)^B34</f>
        <v>2050.869066284205</v>
      </c>
    </row>
    <row r="35" spans="2:5" x14ac:dyDescent="0.25">
      <c r="B35">
        <v>30</v>
      </c>
      <c r="C35" s="11">
        <f>SUM(Consumption!$D$9:$D$20)</f>
        <v>8300.0400000000009</v>
      </c>
      <c r="D35" s="7">
        <f>C35*'Grid Power'!K47</f>
        <v>3817.3274202659391</v>
      </c>
      <c r="E35" s="8">
        <f>D35/(1+Constants!$D$27)^B35</f>
        <v>2107.4353424336114</v>
      </c>
    </row>
    <row r="36" spans="2:5" x14ac:dyDescent="0.25">
      <c r="B36">
        <v>31</v>
      </c>
      <c r="C36" s="11">
        <f>SUM(Consumption!$D$9:$D$20)</f>
        <v>8300.0400000000009</v>
      </c>
      <c r="D36" s="7">
        <f>C36*'Grid Power'!K48</f>
        <v>4001.3406276150395</v>
      </c>
      <c r="E36" s="8">
        <f>D36/(1+Constants!$D$27)^B36</f>
        <v>2165.7094876459555</v>
      </c>
    </row>
    <row r="37" spans="2:5" x14ac:dyDescent="0.25">
      <c r="B37">
        <v>32</v>
      </c>
      <c r="C37" s="11">
        <f>SUM(Consumption!$D$9:$D$20)</f>
        <v>8300.0400000000009</v>
      </c>
      <c r="D37" s="7">
        <f>C37*'Grid Power'!K49</f>
        <v>4194.5037577350849</v>
      </c>
      <c r="E37" s="8">
        <f>D37/(1+Constants!$D$27)^B37</f>
        <v>2225.7433855847653</v>
      </c>
    </row>
    <row r="38" spans="2:5" x14ac:dyDescent="0.25">
      <c r="B38">
        <v>33</v>
      </c>
      <c r="C38" s="11">
        <f>SUM(Consumption!$D$9:$D$20)</f>
        <v>8300.0400000000009</v>
      </c>
      <c r="D38" s="7">
        <f>C38*'Grid Power'!K50</f>
        <v>4397.2782921697099</v>
      </c>
      <c r="E38" s="8">
        <f>D38/(1+Constants!$D$27)^B38</f>
        <v>2287.5904967265615</v>
      </c>
    </row>
    <row r="39" spans="2:5" x14ac:dyDescent="0.25">
      <c r="B39">
        <v>34</v>
      </c>
      <c r="C39" s="11">
        <f>SUM(Consumption!$D$9:$D$20)</f>
        <v>8300.0400000000009</v>
      </c>
      <c r="D39" s="7">
        <f>C39*'Grid Power'!K51</f>
        <v>4610.1491344018832</v>
      </c>
      <c r="E39" s="8">
        <f>D39/(1+Constants!$D$27)^B39</f>
        <v>2351.3059062835123</v>
      </c>
    </row>
    <row r="40" spans="2:5" x14ac:dyDescent="0.25">
      <c r="B40">
        <v>35</v>
      </c>
      <c r="C40" s="11">
        <f>SUM(Consumption!$D$9:$D$20)</f>
        <v>8300.0400000000009</v>
      </c>
      <c r="D40" s="7">
        <f>C40*'Grid Power'!K52</f>
        <v>4833.6258018731905</v>
      </c>
      <c r="E40" s="8">
        <f>D40/(1+Constants!$D$27)^B40</f>
        <v>2416.9463735825711</v>
      </c>
    </row>
    <row r="41" spans="2:5" x14ac:dyDescent="0.25">
      <c r="B41">
        <v>36</v>
      </c>
      <c r="C41" s="11">
        <f>SUM(Consumption!$D$9:$D$20)</f>
        <v>8300.0400000000009</v>
      </c>
      <c r="D41" s="7">
        <f>C41*'Grid Power'!K53</f>
        <v>5068.2436787411061</v>
      </c>
      <c r="E41" s="8">
        <f>D41/(1+Constants!$D$27)^B41</f>
        <v>2484.5703829453537</v>
      </c>
    </row>
    <row r="42" spans="2:5" x14ac:dyDescent="0.25">
      <c r="B42">
        <v>37</v>
      </c>
      <c r="C42" s="11">
        <f>SUM(Consumption!$D$9:$D$20)</f>
        <v>8300.0400000000009</v>
      </c>
      <c r="D42" s="7">
        <f>C42*'Grid Power'!K54</f>
        <v>5314.5653324706764</v>
      </c>
      <c r="E42" s="8">
        <f>D42/(1+Constants!$D$27)^B42</f>
        <v>2554.2381961143528</v>
      </c>
    </row>
    <row r="43" spans="2:5" x14ac:dyDescent="0.25">
      <c r="B43">
        <v>38</v>
      </c>
      <c r="C43" s="11">
        <f>SUM(Consumption!$D$9:$D$20)</f>
        <v>8300.0400000000009</v>
      </c>
      <c r="D43" s="7">
        <f>C43*'Grid Power'!K55</f>
        <v>5573.1818975149581</v>
      </c>
      <c r="E43" s="8">
        <f>D43/(1+Constants!$D$27)^B43</f>
        <v>2626.0119062725157</v>
      </c>
    </row>
    <row r="44" spans="2:5" x14ac:dyDescent="0.25">
      <c r="B44">
        <v>39</v>
      </c>
      <c r="C44" s="11">
        <f>SUM(Consumption!$D$9:$D$20)</f>
        <v>8300.0400000000009</v>
      </c>
      <c r="D44" s="7">
        <f>C44*'Grid Power'!K56</f>
        <v>5844.7145295044402</v>
      </c>
      <c r="E44" s="8">
        <f>D44/(1+Constants!$D$27)^B44</f>
        <v>2699.9554937045791</v>
      </c>
    </row>
    <row r="45" spans="2:5" x14ac:dyDescent="0.25">
      <c r="B45" s="86">
        <v>40</v>
      </c>
      <c r="C45" s="87">
        <f>SUM(Consumption!$D$9:$D$20)</f>
        <v>8300.0400000000009</v>
      </c>
      <c r="D45" s="88">
        <f>C45*'Grid Power'!K57</f>
        <v>6129.8159335401424</v>
      </c>
      <c r="E45" s="103">
        <f>D45/(1+Constants!$D$27)^B45</f>
        <v>2776.1348831500727</v>
      </c>
    </row>
  </sheetData>
  <mergeCells count="2">
    <mergeCell ref="B3:B4"/>
    <mergeCell ref="G9:H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sheetPr>
    <tabColor rgb="FFC00000"/>
  </sheetPr>
  <dimension ref="B2:AA94"/>
  <sheetViews>
    <sheetView showGridLines="0" zoomScaleNormal="100" workbookViewId="0">
      <selection activeCell="J26" sqref="J26"/>
    </sheetView>
  </sheetViews>
  <sheetFormatPr defaultColWidth="8.85546875" defaultRowHeight="15" x14ac:dyDescent="0.25"/>
  <cols>
    <col min="2" max="2" width="10.42578125" bestFit="1" customWidth="1"/>
    <col min="3" max="3" width="11.42578125" bestFit="1" customWidth="1"/>
    <col min="7" max="7" width="11.140625" customWidth="1"/>
    <col min="8" max="8" width="5.7109375" bestFit="1" customWidth="1"/>
    <col min="9" max="9" width="11.140625" bestFit="1" customWidth="1"/>
    <col min="10" max="11" width="11" bestFit="1" customWidth="1"/>
    <col min="12" max="12" width="11.42578125" bestFit="1" customWidth="1"/>
    <col min="13" max="13" width="9.85546875" bestFit="1" customWidth="1"/>
    <col min="14" max="14" width="8.7109375" bestFit="1" customWidth="1"/>
    <col min="15" max="15" width="1" style="69" customWidth="1"/>
    <col min="16" max="16" width="11.28515625" bestFit="1" customWidth="1"/>
    <col min="17" max="17" width="15.42578125" bestFit="1" customWidth="1"/>
    <col min="18" max="18" width="11.7109375" bestFit="1" customWidth="1"/>
    <col min="20" max="20" width="10.5703125" bestFit="1" customWidth="1"/>
    <col min="21" max="21" width="16.28515625" bestFit="1" customWidth="1"/>
    <col min="23" max="23" width="11.28515625" bestFit="1" customWidth="1"/>
    <col min="24" max="24" width="1.140625" customWidth="1"/>
    <col min="25" max="25" width="11.140625" bestFit="1" customWidth="1"/>
    <col min="27" max="27" width="11.7109375" customWidth="1"/>
  </cols>
  <sheetData>
    <row r="2" spans="2:27" x14ac:dyDescent="0.25">
      <c r="B2" t="s">
        <v>150</v>
      </c>
    </row>
    <row r="3" spans="2:27" x14ac:dyDescent="0.25">
      <c r="B3" t="s">
        <v>146</v>
      </c>
      <c r="C3" s="2"/>
    </row>
    <row r="4" spans="2:27" x14ac:dyDescent="0.25">
      <c r="F4" s="132" t="s">
        <v>65</v>
      </c>
      <c r="G4" s="109" t="s">
        <v>129</v>
      </c>
      <c r="H4" s="109"/>
      <c r="I4" s="109"/>
      <c r="J4" s="109" t="s">
        <v>12</v>
      </c>
      <c r="K4" s="109"/>
      <c r="L4" s="109"/>
      <c r="M4" s="109" t="s">
        <v>197</v>
      </c>
      <c r="N4" s="109"/>
      <c r="P4" s="109" t="s">
        <v>209</v>
      </c>
      <c r="Q4" s="109"/>
      <c r="R4" s="109"/>
      <c r="S4" s="109"/>
      <c r="T4" s="109"/>
      <c r="U4" s="109"/>
      <c r="V4" s="109"/>
      <c r="W4" s="109"/>
    </row>
    <row r="5" spans="2:27" x14ac:dyDescent="0.25">
      <c r="B5" s="109" t="s">
        <v>181</v>
      </c>
      <c r="C5" s="109"/>
      <c r="D5" s="109"/>
      <c r="F5" s="132"/>
      <c r="G5" s="133" t="s">
        <v>184</v>
      </c>
      <c r="H5" s="50" t="s">
        <v>201</v>
      </c>
      <c r="I5" s="50" t="s">
        <v>202</v>
      </c>
      <c r="J5" s="50" t="s">
        <v>193</v>
      </c>
      <c r="K5" s="50" t="s">
        <v>169</v>
      </c>
      <c r="L5" s="50" t="s">
        <v>195</v>
      </c>
      <c r="M5" s="50" t="s">
        <v>194</v>
      </c>
      <c r="N5" s="50" t="s">
        <v>196</v>
      </c>
      <c r="O5" s="91"/>
      <c r="P5" s="50" t="s">
        <v>206</v>
      </c>
      <c r="Q5" s="50" t="s">
        <v>210</v>
      </c>
      <c r="R5" s="50" t="s">
        <v>203</v>
      </c>
      <c r="S5" s="50" t="s">
        <v>15</v>
      </c>
      <c r="T5" s="50" t="s">
        <v>205</v>
      </c>
      <c r="U5" s="50" t="s">
        <v>204</v>
      </c>
      <c r="V5" s="50" t="s">
        <v>207</v>
      </c>
      <c r="W5" s="50" t="s">
        <v>208</v>
      </c>
      <c r="Y5" s="50" t="s">
        <v>218</v>
      </c>
    </row>
    <row r="6" spans="2:27" x14ac:dyDescent="0.25">
      <c r="B6" s="12" t="s">
        <v>105</v>
      </c>
      <c r="C6" s="110" t="s">
        <v>182</v>
      </c>
      <c r="D6" s="110"/>
      <c r="F6" s="110"/>
      <c r="G6" s="134"/>
      <c r="H6" s="10" t="s">
        <v>71</v>
      </c>
      <c r="I6" s="10" t="s">
        <v>71</v>
      </c>
      <c r="J6" s="10" t="s">
        <v>68</v>
      </c>
      <c r="K6" s="10" t="s">
        <v>68</v>
      </c>
      <c r="L6" s="10" t="s">
        <v>68</v>
      </c>
      <c r="M6" s="10" t="s">
        <v>68</v>
      </c>
      <c r="N6" s="10" t="s">
        <v>68</v>
      </c>
      <c r="O6" s="92"/>
      <c r="P6" s="10" t="s">
        <v>68</v>
      </c>
      <c r="Q6" s="10" t="s">
        <v>68</v>
      </c>
      <c r="R6" s="10" t="s">
        <v>68</v>
      </c>
      <c r="S6" s="10" t="s">
        <v>68</v>
      </c>
      <c r="T6" s="10" t="s">
        <v>68</v>
      </c>
      <c r="U6" s="10" t="s">
        <v>68</v>
      </c>
      <c r="V6" s="10" t="s">
        <v>68</v>
      </c>
      <c r="W6" s="92" t="s">
        <v>68</v>
      </c>
      <c r="X6" s="77"/>
      <c r="Y6" s="95" t="s">
        <v>211</v>
      </c>
    </row>
    <row r="7" spans="2:27" x14ac:dyDescent="0.25">
      <c r="B7">
        <v>1</v>
      </c>
      <c r="C7" s="11">
        <f>Weather!G8*Configurations!$C$19*(1-Constants!$N$16)</f>
        <v>57522.9303</v>
      </c>
      <c r="D7" t="s">
        <v>183</v>
      </c>
      <c r="F7">
        <v>0</v>
      </c>
      <c r="G7" s="3">
        <v>1</v>
      </c>
      <c r="H7" s="11">
        <v>0</v>
      </c>
      <c r="I7" s="11">
        <v>0</v>
      </c>
      <c r="J7" s="8">
        <v>0</v>
      </c>
      <c r="K7" s="2">
        <f>Configurations!C16</f>
        <v>2013.9749999999999</v>
      </c>
      <c r="L7" s="2">
        <v>0</v>
      </c>
      <c r="M7" s="2">
        <f>Configurations!$C$19*(Incentives!$C$5+Incentives!$C$6)</f>
        <v>360</v>
      </c>
      <c r="N7" s="2">
        <f>IF(H7&lt;I7,0,H7-I7)</f>
        <v>0</v>
      </c>
      <c r="P7" s="8">
        <f>M7+N7-L7-K7-J7</f>
        <v>-1653.9749999999999</v>
      </c>
      <c r="Q7" s="8">
        <f>'Analysis (A)'!P7+'Analysis (Nothing)'!D5</f>
        <v>-1653.9749999999999</v>
      </c>
      <c r="R7" s="8">
        <f>$K$7/2</f>
        <v>1006.9875</v>
      </c>
      <c r="S7" s="2">
        <v>0</v>
      </c>
      <c r="T7" s="8">
        <f>R7-S7</f>
        <v>1006.9875</v>
      </c>
      <c r="U7" s="2">
        <f>IF(Q7&lt;0, 0,Q7-S7)</f>
        <v>0</v>
      </c>
      <c r="V7" s="8">
        <f>U7*Constants!$D$30</f>
        <v>0</v>
      </c>
      <c r="W7" s="8">
        <f>Q7-V7</f>
        <v>-1653.9749999999999</v>
      </c>
      <c r="X7" s="3"/>
      <c r="Y7" s="2">
        <f>W7*(1+Constants!$D$27)^-F7</f>
        <v>-1653.9749999999999</v>
      </c>
      <c r="Z7" s="90">
        <f>IRR(Y7:Y47)</f>
        <v>3.2586147161849599E-2</v>
      </c>
    </row>
    <row r="8" spans="2:27" x14ac:dyDescent="0.25">
      <c r="B8">
        <v>2</v>
      </c>
      <c r="C8" s="11">
        <f>Weather!G9*Configurations!$C$19*(1-Constants!$N$16)</f>
        <v>62659.703039999993</v>
      </c>
      <c r="D8" t="s">
        <v>183</v>
      </c>
      <c r="F8">
        <v>1</v>
      </c>
      <c r="G8" s="73">
        <f>G7*(1-Constants!$D$17)</f>
        <v>0.995</v>
      </c>
      <c r="H8" s="11">
        <f t="shared" ref="H8:H47" si="0">$C$19*G8</f>
        <v>1144.7063129700002</v>
      </c>
      <c r="I8" s="11">
        <f>Consumption!$C$2-'Analysis (A)'!H8</f>
        <v>7155.29368703</v>
      </c>
      <c r="J8" s="8">
        <f>I8*'Grid Power'!K18</f>
        <v>871.51937908938839</v>
      </c>
      <c r="K8" s="2">
        <v>0</v>
      </c>
      <c r="L8" s="2">
        <f>IF(MOD(F8,5)=0,Configurations!$G$11,0)</f>
        <v>0</v>
      </c>
      <c r="M8" s="2">
        <v>0</v>
      </c>
      <c r="N8" s="2">
        <f t="shared" ref="N8:N46" si="1">IF(H8&lt;I8,0,H8-I8)</f>
        <v>0</v>
      </c>
      <c r="P8" s="8">
        <f t="shared" ref="P8:P47" si="2">M8+N8-L8-K8-J8</f>
        <v>-871.51937908938839</v>
      </c>
      <c r="Q8" s="8">
        <f>'Analysis (A)'!P8+'Analysis (Nothing)'!D6</f>
        <v>139.43083813637168</v>
      </c>
      <c r="R8" s="8">
        <f>$K$7/2</f>
        <v>1006.9875</v>
      </c>
      <c r="S8" s="8">
        <f>T7*Configurations!$G$6</f>
        <v>302.09625</v>
      </c>
      <c r="T8" s="8">
        <f>T7+R8-S8</f>
        <v>1711.8787499999999</v>
      </c>
      <c r="U8" s="2">
        <f>IF(Q8&lt;0, 0,IF(Q8-S8&lt;0,0,Q8-S8))</f>
        <v>0</v>
      </c>
      <c r="V8" s="8">
        <f>U8*Constants!$D$30</f>
        <v>0</v>
      </c>
      <c r="W8" s="8">
        <f t="shared" ref="W8:W47" si="3">Q8-V8</f>
        <v>139.43083813637168</v>
      </c>
      <c r="Y8" s="2">
        <f>W8*(1+Constants!$D$27)^-F8</f>
        <v>136.69690013369771</v>
      </c>
      <c r="Z8" s="5">
        <f>IRR(W7:W47)</f>
        <v>5.3237870105136365E-2</v>
      </c>
      <c r="AA8" s="5">
        <f>1+Z8</f>
        <v>1.0532378701051364</v>
      </c>
    </row>
    <row r="9" spans="2:27" x14ac:dyDescent="0.25">
      <c r="B9">
        <v>3</v>
      </c>
      <c r="C9" s="11">
        <f>Weather!G10*Configurations!$C$19*(1-Constants!$N$16)</f>
        <v>76697.240399999995</v>
      </c>
      <c r="D9" t="s">
        <v>183</v>
      </c>
      <c r="F9">
        <v>2</v>
      </c>
      <c r="G9" s="73">
        <f>G8*(1-Constants!$D$17)</f>
        <v>0.99002500000000004</v>
      </c>
      <c r="H9" s="11">
        <f t="shared" si="0"/>
        <v>1138.9827814051503</v>
      </c>
      <c r="I9" s="11">
        <f>Consumption!$C$2-'Analysis (A)'!H9</f>
        <v>7161.0172185948495</v>
      </c>
      <c r="J9" s="8">
        <f>I9*'Grid Power'!K19</f>
        <v>911.80172927980902</v>
      </c>
      <c r="K9" s="2">
        <v>0</v>
      </c>
      <c r="L9" s="2">
        <f>IF(MOD(F9,5)=0,Configurations!$G$11,0)</f>
        <v>0</v>
      </c>
      <c r="M9" s="2">
        <v>0</v>
      </c>
      <c r="N9" s="2">
        <f t="shared" si="1"/>
        <v>0</v>
      </c>
      <c r="P9" s="8">
        <f t="shared" si="2"/>
        <v>-911.80172927980902</v>
      </c>
      <c r="Q9" s="8">
        <f>'Analysis (A)'!P9+'Analysis (Nothing)'!D7</f>
        <v>145.0300858204198</v>
      </c>
      <c r="R9" s="2">
        <v>0</v>
      </c>
      <c r="S9" s="8">
        <f>T8*Configurations!$G$6</f>
        <v>513.56362499999989</v>
      </c>
      <c r="T9" s="8">
        <f t="shared" ref="T9:T47" si="4">T8+R9-S9</f>
        <v>1198.3151250000001</v>
      </c>
      <c r="U9" s="2">
        <f t="shared" ref="U9:U47" si="5">IF(Q9&lt;0, 0,IF(Q9-S9&lt;0,0,Q9-S9))</f>
        <v>0</v>
      </c>
      <c r="V9" s="8">
        <f>U9*Constants!$D$30</f>
        <v>0</v>
      </c>
      <c r="W9" s="8">
        <f t="shared" si="3"/>
        <v>145.0300858204198</v>
      </c>
      <c r="Y9" s="2">
        <f>W9*(1+Constants!$D$27)^-F9</f>
        <v>139.39839083085334</v>
      </c>
      <c r="AA9" s="5">
        <f>1+2%</f>
        <v>1.02</v>
      </c>
    </row>
    <row r="10" spans="2:27" x14ac:dyDescent="0.25">
      <c r="B10">
        <v>4</v>
      </c>
      <c r="C10" s="11">
        <f>Weather!G11*Configurations!$C$19*(1-Constants!$N$16)</f>
        <v>95871.550500000012</v>
      </c>
      <c r="D10" t="s">
        <v>183</v>
      </c>
      <c r="F10">
        <v>3</v>
      </c>
      <c r="G10" s="73">
        <f>G9*(1-Constants!$D$17)</f>
        <v>0.98507487500000002</v>
      </c>
      <c r="H10" s="11">
        <f t="shared" si="0"/>
        <v>1133.2878674981243</v>
      </c>
      <c r="I10" s="11">
        <f>Consumption!$C$2-'Analysis (A)'!H10</f>
        <v>7166.7121325018761</v>
      </c>
      <c r="J10" s="8">
        <f>I10*'Grid Power'!K20</f>
        <v>954.05616937664865</v>
      </c>
      <c r="K10" s="2">
        <v>0</v>
      </c>
      <c r="L10" s="2">
        <f>IF(MOD(F10,5)=0,Configurations!$G$11,0)</f>
        <v>0</v>
      </c>
      <c r="M10" s="2">
        <v>0</v>
      </c>
      <c r="N10" s="2">
        <f t="shared" si="1"/>
        <v>0</v>
      </c>
      <c r="P10" s="8">
        <f t="shared" si="2"/>
        <v>-954.05616937664865</v>
      </c>
      <c r="Q10" s="8">
        <f>'Analysis (A)'!P10+'Analysis (Nothing)'!D8</f>
        <v>150.87231409915751</v>
      </c>
      <c r="R10" s="2">
        <v>0</v>
      </c>
      <c r="S10" s="8">
        <f>T9*Configurations!$G$6</f>
        <v>359.49453750000004</v>
      </c>
      <c r="T10" s="8">
        <f t="shared" si="4"/>
        <v>838.8205875000001</v>
      </c>
      <c r="U10" s="2">
        <f t="shared" si="5"/>
        <v>0</v>
      </c>
      <c r="V10" s="8">
        <f>U10*Constants!$D$30</f>
        <v>0</v>
      </c>
      <c r="W10" s="8">
        <f t="shared" si="3"/>
        <v>150.87231409915751</v>
      </c>
      <c r="Y10" s="2">
        <f>W10*(1+Constants!$D$27)^-F10</f>
        <v>142.17035124043309</v>
      </c>
      <c r="AA10" s="89">
        <f>AA8/AA9-1</f>
        <v>3.2586147161898449E-2</v>
      </c>
    </row>
    <row r="11" spans="2:27" x14ac:dyDescent="0.25">
      <c r="B11">
        <v>5</v>
      </c>
      <c r="C11" s="11">
        <f>Weather!G12*Configurations!$C$19*(1-Constants!$N$16)</f>
        <v>115045.8606</v>
      </c>
      <c r="D11" t="s">
        <v>183</v>
      </c>
      <c r="F11">
        <v>4</v>
      </c>
      <c r="G11" s="73">
        <f>G10*(1-Constants!$D$17)</f>
        <v>0.98014950062500006</v>
      </c>
      <c r="H11" s="11">
        <f t="shared" si="0"/>
        <v>1127.6214281606337</v>
      </c>
      <c r="I11" s="11">
        <f>Consumption!$C$2-'Analysis (A)'!H11</f>
        <v>7172.3785718393665</v>
      </c>
      <c r="J11" s="8">
        <f>I11*'Grid Power'!K21</f>
        <v>998.3820274145445</v>
      </c>
      <c r="K11" s="2">
        <v>0</v>
      </c>
      <c r="L11" s="2">
        <f>IF(MOD(F11,5)=0,Configurations!$G$11,0)</f>
        <v>0</v>
      </c>
      <c r="M11" s="2">
        <v>0</v>
      </c>
      <c r="N11" s="2">
        <f t="shared" si="1"/>
        <v>0</v>
      </c>
      <c r="P11" s="8">
        <f t="shared" si="2"/>
        <v>-998.3820274145445</v>
      </c>
      <c r="Q11" s="8">
        <f>'Analysis (A)'!P11+'Analysis (Nothing)'!D9</f>
        <v>156.96841593171405</v>
      </c>
      <c r="R11" s="2">
        <v>0</v>
      </c>
      <c r="S11" s="8">
        <f>T10*Configurations!$G$6</f>
        <v>251.64617625000002</v>
      </c>
      <c r="T11" s="8">
        <f t="shared" si="4"/>
        <v>587.17441125000005</v>
      </c>
      <c r="U11" s="2">
        <f t="shared" si="5"/>
        <v>0</v>
      </c>
      <c r="V11" s="8">
        <f>U11*Constants!$D$30</f>
        <v>0</v>
      </c>
      <c r="W11" s="8">
        <f t="shared" si="3"/>
        <v>156.96841593171405</v>
      </c>
      <c r="Y11" s="2">
        <f>W11*(1+Constants!$D$27)^-F11</f>
        <v>145.01455308914146</v>
      </c>
    </row>
    <row r="12" spans="2:27" x14ac:dyDescent="0.25">
      <c r="B12">
        <v>6</v>
      </c>
      <c r="C12" s="11">
        <f>Weather!G13*Configurations!$C$19*(1-Constants!$N$16)</f>
        <v>129083.39796</v>
      </c>
      <c r="D12" t="s">
        <v>183</v>
      </c>
      <c r="F12" s="79">
        <v>5</v>
      </c>
      <c r="G12" s="80">
        <f>G11*(1-Constants!$D$17)</f>
        <v>0.97524875312187509</v>
      </c>
      <c r="H12" s="81">
        <f t="shared" si="0"/>
        <v>1121.9833210198308</v>
      </c>
      <c r="I12" s="81">
        <f>Consumption!$C$2-'Analysis (A)'!H12</f>
        <v>7178.0166789801697</v>
      </c>
      <c r="J12" s="82">
        <f>I12*'Grid Power'!K22</f>
        <v>1044.8836977041433</v>
      </c>
      <c r="K12" s="2">
        <v>0</v>
      </c>
      <c r="L12" s="2">
        <f>IF(MOD(F12,5)=0,Configurations!$G$11,0)</f>
        <v>897.5</v>
      </c>
      <c r="M12" s="2">
        <v>0</v>
      </c>
      <c r="N12" s="2">
        <f t="shared" si="1"/>
        <v>0</v>
      </c>
      <c r="P12" s="8">
        <f t="shared" si="2"/>
        <v>-1942.3836977041433</v>
      </c>
      <c r="Q12" s="8">
        <f>'Analysis (A)'!P12+'Analysis (Nothing)'!D10</f>
        <v>-734.1702211753493</v>
      </c>
      <c r="R12" s="2">
        <f>$L$12/2</f>
        <v>448.75</v>
      </c>
      <c r="S12" s="8">
        <f>T11*Configurations!$G$6</f>
        <v>176.15232337500001</v>
      </c>
      <c r="T12" s="8">
        <f t="shared" si="4"/>
        <v>859.77208787500001</v>
      </c>
      <c r="U12" s="2">
        <f t="shared" si="5"/>
        <v>0</v>
      </c>
      <c r="V12" s="8">
        <f>U12*Constants!$D$30</f>
        <v>0</v>
      </c>
      <c r="W12" s="8">
        <f t="shared" si="3"/>
        <v>-734.1702211753493</v>
      </c>
      <c r="Y12" s="2">
        <f>W12*(1+Constants!$D$27)^-F12</f>
        <v>-664.9605889781576</v>
      </c>
      <c r="AA12" t="s">
        <v>215</v>
      </c>
    </row>
    <row r="13" spans="2:27" x14ac:dyDescent="0.25">
      <c r="B13">
        <v>7</v>
      </c>
      <c r="C13" s="11">
        <f>Weather!G14*Configurations!$C$19*(1-Constants!$N$16)</f>
        <v>134220.17069999999</v>
      </c>
      <c r="D13" t="s">
        <v>183</v>
      </c>
      <c r="F13">
        <v>6</v>
      </c>
      <c r="G13" s="73">
        <f>G12*(1-Constants!$D$17)</f>
        <v>0.97037250935626573</v>
      </c>
      <c r="H13" s="11">
        <f t="shared" si="0"/>
        <v>1116.3734044147316</v>
      </c>
      <c r="I13" s="11">
        <f>Consumption!$C$2-'Analysis (A)'!H13</f>
        <v>7183.6265955852687</v>
      </c>
      <c r="J13" s="8">
        <f>I13*'Grid Power'!K23</f>
        <v>1093.670900544447</v>
      </c>
      <c r="K13" s="2">
        <v>0</v>
      </c>
      <c r="L13" s="2">
        <f>IF(MOD(F13,5)=0,Configurations!$G$11,0)</f>
        <v>0</v>
      </c>
      <c r="M13" s="2">
        <v>0</v>
      </c>
      <c r="N13" s="2">
        <f t="shared" si="1"/>
        <v>0</v>
      </c>
      <c r="P13" s="8">
        <f t="shared" si="2"/>
        <v>-1093.670900544447</v>
      </c>
      <c r="Q13" s="8">
        <f>'Analysis (A)'!P13+'Analysis (Nothing)'!D11</f>
        <v>169.9683073917729</v>
      </c>
      <c r="R13" s="2">
        <f>$L$12/2</f>
        <v>448.75</v>
      </c>
      <c r="S13" s="8">
        <f>T12*Configurations!$G$6</f>
        <v>257.93162636249997</v>
      </c>
      <c r="T13" s="8">
        <f t="shared" si="4"/>
        <v>1050.5904615125</v>
      </c>
      <c r="U13" s="2">
        <f t="shared" si="5"/>
        <v>0</v>
      </c>
      <c r="V13" s="8">
        <f>U13*Constants!$D$30</f>
        <v>0</v>
      </c>
      <c r="W13" s="8">
        <f t="shared" si="3"/>
        <v>169.9683073917729</v>
      </c>
      <c r="Y13" s="2">
        <f>W13*(1+Constants!$D$27)^-F13</f>
        <v>150.92699284252012</v>
      </c>
    </row>
    <row r="14" spans="2:27" x14ac:dyDescent="0.25">
      <c r="B14">
        <v>8</v>
      </c>
      <c r="C14" s="11">
        <f>Weather!G15*Configurations!$C$19*(1-Constants!$N$16)</f>
        <v>129083.39796</v>
      </c>
      <c r="D14" t="s">
        <v>183</v>
      </c>
      <c r="F14">
        <v>7</v>
      </c>
      <c r="G14" s="73">
        <f>G13*(1-Constants!$D$17)</f>
        <v>0.96552064680948435</v>
      </c>
      <c r="H14" s="11">
        <f t="shared" si="0"/>
        <v>1110.7915373926578</v>
      </c>
      <c r="I14" s="11">
        <f>Consumption!$C$2-'Analysis (A)'!H14</f>
        <v>7189.208462607342</v>
      </c>
      <c r="J14" s="8">
        <f>I14*'Grid Power'!K24</f>
        <v>1144.8589552708474</v>
      </c>
      <c r="K14" s="2">
        <v>0</v>
      </c>
      <c r="L14" s="2">
        <f>IF(MOD(F14,5)=0,Configurations!$G$11,0)</f>
        <v>0</v>
      </c>
      <c r="M14" s="2">
        <v>0</v>
      </c>
      <c r="N14" s="2">
        <f t="shared" si="1"/>
        <v>0</v>
      </c>
      <c r="P14" s="8">
        <f t="shared" si="2"/>
        <v>-1144.8589552708474</v>
      </c>
      <c r="Q14" s="8">
        <f>'Analysis (A)'!P14+'Analysis (Nothing)'!D12</f>
        <v>176.89644694487538</v>
      </c>
      <c r="R14" s="2">
        <v>0</v>
      </c>
      <c r="S14" s="8">
        <f>T13*Configurations!$G$6</f>
        <v>315.17713845374999</v>
      </c>
      <c r="T14" s="8">
        <f t="shared" si="4"/>
        <v>735.41332305875005</v>
      </c>
      <c r="U14" s="2">
        <f t="shared" si="5"/>
        <v>0</v>
      </c>
      <c r="V14" s="8">
        <f>U14*Constants!$D$30</f>
        <v>0</v>
      </c>
      <c r="W14" s="8">
        <f t="shared" si="3"/>
        <v>176.89644694487538</v>
      </c>
      <c r="Y14" s="2">
        <f>W14*(1+Constants!$D$27)^-F14</f>
        <v>153.99900244849746</v>
      </c>
    </row>
    <row r="15" spans="2:27" x14ac:dyDescent="0.25">
      <c r="B15">
        <v>9</v>
      </c>
      <c r="C15" s="11">
        <f>Weather!G16*Configurations!$C$19*(1-Constants!$N$16)</f>
        <v>115045.8606</v>
      </c>
      <c r="D15" t="s">
        <v>183</v>
      </c>
      <c r="F15">
        <v>8</v>
      </c>
      <c r="G15" s="73">
        <f>G14*(1-Constants!$D$17)</f>
        <v>0.96069304357543694</v>
      </c>
      <c r="H15" s="11">
        <f t="shared" si="0"/>
        <v>1105.2375797056945</v>
      </c>
      <c r="I15" s="11">
        <f>Consumption!$C$2-'Analysis (A)'!H15</f>
        <v>7194.7624202943052</v>
      </c>
      <c r="J15" s="8">
        <f>I15*'Grid Power'!K25</f>
        <v>1198.5690673237611</v>
      </c>
      <c r="K15" s="2">
        <v>0</v>
      </c>
      <c r="L15" s="2">
        <f>IF(MOD(F15,5)=0,Configurations!$G$11,0)</f>
        <v>0</v>
      </c>
      <c r="M15" s="2">
        <v>0</v>
      </c>
      <c r="N15" s="2">
        <f t="shared" si="1"/>
        <v>0</v>
      </c>
      <c r="P15" s="8">
        <f t="shared" si="2"/>
        <v>-1198.5690673237611</v>
      </c>
      <c r="Q15" s="8">
        <f>'Analysis (A)'!P15+'Analysis (Nothing)'!D13</f>
        <v>184.12720816256365</v>
      </c>
      <c r="R15" s="2">
        <v>0</v>
      </c>
      <c r="S15" s="8">
        <f>T14*Configurations!$G$6</f>
        <v>220.62399691762502</v>
      </c>
      <c r="T15" s="8">
        <f t="shared" si="4"/>
        <v>514.789326141125</v>
      </c>
      <c r="U15" s="2">
        <f t="shared" si="5"/>
        <v>0</v>
      </c>
      <c r="V15" s="8">
        <f>U15*Constants!$D$30</f>
        <v>0</v>
      </c>
      <c r="W15" s="8">
        <f t="shared" si="3"/>
        <v>184.12720816256365</v>
      </c>
      <c r="Y15" s="2">
        <f>W15*(1+Constants!$D$27)^-F15</f>
        <v>157.15079924086541</v>
      </c>
    </row>
    <row r="16" spans="2:27" x14ac:dyDescent="0.25">
      <c r="B16">
        <v>10</v>
      </c>
      <c r="C16" s="11">
        <f>Weather!G17*Configurations!$C$19*(1-Constants!$N$16)</f>
        <v>95871.550500000012</v>
      </c>
      <c r="D16" t="s">
        <v>183</v>
      </c>
      <c r="F16">
        <v>9</v>
      </c>
      <c r="G16" s="73">
        <f>G15*(1-Constants!$D$17)</f>
        <v>0.95588957835755972</v>
      </c>
      <c r="H16" s="11">
        <f t="shared" si="0"/>
        <v>1099.7113918071661</v>
      </c>
      <c r="I16" s="11">
        <f>Consumption!$C$2-'Analysis (A)'!H16</f>
        <v>7200.2886081928336</v>
      </c>
      <c r="J16" s="8">
        <f>I16*'Grid Power'!K26</f>
        <v>1254.928630057942</v>
      </c>
      <c r="K16" s="2">
        <v>0</v>
      </c>
      <c r="L16" s="2">
        <f>IF(MOD(F16,5)=0,Configurations!$G$11,0)</f>
        <v>0</v>
      </c>
      <c r="M16" s="2">
        <v>0</v>
      </c>
      <c r="N16" s="2">
        <f t="shared" si="1"/>
        <v>0</v>
      </c>
      <c r="P16" s="8">
        <f t="shared" si="2"/>
        <v>-1254.928630057942</v>
      </c>
      <c r="Q16" s="8">
        <f>'Analysis (A)'!P16+'Analysis (Nothing)'!D14</f>
        <v>191.67419288645306</v>
      </c>
      <c r="R16" s="2">
        <v>0</v>
      </c>
      <c r="S16" s="8">
        <f>T15*Configurations!$G$6</f>
        <v>154.43679784233748</v>
      </c>
      <c r="T16" s="8">
        <f t="shared" si="4"/>
        <v>360.35252829878755</v>
      </c>
      <c r="U16" s="2">
        <f t="shared" si="5"/>
        <v>37.237395044115573</v>
      </c>
      <c r="V16" s="8">
        <f>U16*Constants!$D$30</f>
        <v>3.7237395044115575</v>
      </c>
      <c r="W16" s="8">
        <f t="shared" si="3"/>
        <v>187.9504533820415</v>
      </c>
      <c r="Y16" s="2">
        <f>W16*(1+Constants!$D$27)^-F16</f>
        <v>157.26853159057683</v>
      </c>
    </row>
    <row r="17" spans="2:25" x14ac:dyDescent="0.25">
      <c r="B17">
        <v>11</v>
      </c>
      <c r="C17" s="11">
        <f>Weather!G18*Configurations!$C$19*(1-Constants!$N$16)</f>
        <v>76697.240399999995</v>
      </c>
      <c r="D17" t="s">
        <v>183</v>
      </c>
      <c r="F17">
        <v>10</v>
      </c>
      <c r="G17" s="73">
        <f>G16*(1-Constants!$D$17)</f>
        <v>0.95111013046577186</v>
      </c>
      <c r="H17" s="11">
        <f t="shared" si="0"/>
        <v>1094.2128348481301</v>
      </c>
      <c r="I17" s="11">
        <f>Consumption!$C$2-'Analysis (A)'!H17</f>
        <v>7205.7871651518699</v>
      </c>
      <c r="J17" s="8">
        <f>I17*'Grid Power'!K27</f>
        <v>1314.0715420495128</v>
      </c>
      <c r="K17" s="2">
        <v>0</v>
      </c>
      <c r="L17" s="2">
        <f>IF(MOD(F17,5)=0,Configurations!$G$11,0)</f>
        <v>897.5</v>
      </c>
      <c r="M17" s="2">
        <v>0</v>
      </c>
      <c r="N17" s="2">
        <f t="shared" si="1"/>
        <v>0</v>
      </c>
      <c r="P17" s="8">
        <f t="shared" si="2"/>
        <v>-2211.5715420495126</v>
      </c>
      <c r="Q17" s="8">
        <f>'Analysis (A)'!P17+'Analysis (Nothing)'!D15</f>
        <v>-697.94837890370422</v>
      </c>
      <c r="R17" s="2">
        <f>$L$12/2</f>
        <v>448.75</v>
      </c>
      <c r="S17" s="8">
        <f>T16*Configurations!$G$6</f>
        <v>108.10575848963626</v>
      </c>
      <c r="T17" s="8">
        <f t="shared" si="4"/>
        <v>700.99676980915126</v>
      </c>
      <c r="U17" s="2">
        <f t="shared" si="5"/>
        <v>0</v>
      </c>
      <c r="V17" s="8">
        <f>U17*Constants!$D$30</f>
        <v>0</v>
      </c>
      <c r="W17" s="8">
        <f t="shared" si="3"/>
        <v>-697.94837890370422</v>
      </c>
      <c r="Y17" s="2">
        <f>W17*(1+Constants!$D$27)^-F17</f>
        <v>-572.56076603427448</v>
      </c>
    </row>
    <row r="18" spans="2:25" x14ac:dyDescent="0.25">
      <c r="B18" s="77">
        <v>12</v>
      </c>
      <c r="C18" s="83">
        <f>Weather!G19*Configurations!$C$19*(1-Constants!$N$16)</f>
        <v>62659.703039999993</v>
      </c>
      <c r="D18" s="77" t="s">
        <v>183</v>
      </c>
      <c r="F18">
        <v>11</v>
      </c>
      <c r="G18" s="73">
        <f>G17*(1-Constants!$D$17)</f>
        <v>0.94635457981344295</v>
      </c>
      <c r="H18" s="11">
        <f t="shared" si="0"/>
        <v>1088.7417706738895</v>
      </c>
      <c r="I18" s="11">
        <f>Consumption!$C$2-'Analysis (A)'!H18</f>
        <v>7211.2582293261103</v>
      </c>
      <c r="J18" s="8">
        <f>I18*'Grid Power'!K28</f>
        <v>1376.1385406966326</v>
      </c>
      <c r="K18" s="2">
        <v>0</v>
      </c>
      <c r="L18" s="2">
        <f>IF(MOD(F18,5)=0,Configurations!$G$11,0)</f>
        <v>0</v>
      </c>
      <c r="M18" s="2">
        <v>0</v>
      </c>
      <c r="N18" s="2">
        <f t="shared" si="1"/>
        <v>0</v>
      </c>
      <c r="P18" s="8">
        <f t="shared" si="2"/>
        <v>-1376.1385406966326</v>
      </c>
      <c r="Q18" s="8">
        <f>'Analysis (A)'!P18+'Analysis (Nothing)'!D16</f>
        <v>207.77435911794851</v>
      </c>
      <c r="R18" s="2">
        <f>$L$12/2</f>
        <v>448.75</v>
      </c>
      <c r="S18" s="8">
        <f>T17*Configurations!$G$6</f>
        <v>210.29903094274536</v>
      </c>
      <c r="T18" s="8">
        <f t="shared" si="4"/>
        <v>939.44773886640598</v>
      </c>
      <c r="U18" s="2">
        <f>IF(Q18&lt;0, 0,IF(Q18-S18&lt;0,0,Q18-S18))</f>
        <v>0</v>
      </c>
      <c r="V18" s="8">
        <f>U18*Constants!$D$30</f>
        <v>0</v>
      </c>
      <c r="W18" s="8">
        <f t="shared" si="3"/>
        <v>207.77435911794851</v>
      </c>
      <c r="Y18" s="2">
        <f>W18*(1+Constants!$D$27)^-F18</f>
        <v>167.10523750986184</v>
      </c>
    </row>
    <row r="19" spans="2:25" x14ac:dyDescent="0.25">
      <c r="B19" s="1" t="s">
        <v>98</v>
      </c>
      <c r="C19" s="84">
        <f>SUM(C7:C18)/1000</f>
        <v>1150.4586060000001</v>
      </c>
      <c r="D19" s="1" t="s">
        <v>119</v>
      </c>
      <c r="F19">
        <v>12</v>
      </c>
      <c r="G19" s="73">
        <f>G18*(1-Constants!$D$17)</f>
        <v>0.94162280691437572</v>
      </c>
      <c r="H19" s="11">
        <f t="shared" si="0"/>
        <v>1083.2980618205199</v>
      </c>
      <c r="I19" s="11">
        <f>Consumption!$C$2-'Analysis (A)'!H19</f>
        <v>7216.7019381794798</v>
      </c>
      <c r="J19" s="8">
        <f>I19*'Grid Power'!K29</f>
        <v>1441.2775529505645</v>
      </c>
      <c r="K19" s="2">
        <v>0</v>
      </c>
      <c r="L19" s="2">
        <f>IF(MOD(F19,5)=0,Configurations!$G$11,0)</f>
        <v>0</v>
      </c>
      <c r="M19" s="2">
        <v>0</v>
      </c>
      <c r="N19" s="2">
        <f t="shared" si="1"/>
        <v>0</v>
      </c>
      <c r="P19" s="8">
        <f t="shared" si="2"/>
        <v>-1441.2775529505645</v>
      </c>
      <c r="Q19" s="8">
        <f>'Analysis (A)'!P19+'Analysis (Nothing)'!D17</f>
        <v>216.35794912056076</v>
      </c>
      <c r="R19" s="2">
        <v>0</v>
      </c>
      <c r="S19" s="8">
        <f>T18*Configurations!$G$6</f>
        <v>281.83432165992178</v>
      </c>
      <c r="T19" s="8">
        <f t="shared" si="4"/>
        <v>657.6134172064842</v>
      </c>
      <c r="U19" s="2">
        <f t="shared" si="5"/>
        <v>0</v>
      </c>
      <c r="V19" s="8">
        <f>U19*Constants!$D$30</f>
        <v>0</v>
      </c>
      <c r="W19" s="8">
        <f t="shared" si="3"/>
        <v>216.35794912056076</v>
      </c>
      <c r="Y19" s="2">
        <f>W19*(1+Constants!$D$27)^-F19</f>
        <v>170.5967663644054</v>
      </c>
    </row>
    <row r="20" spans="2:25" x14ac:dyDescent="0.25">
      <c r="F20">
        <v>13</v>
      </c>
      <c r="G20" s="73">
        <f>G19*(1-Constants!$D$17)</f>
        <v>0.93691469287980389</v>
      </c>
      <c r="H20" s="11">
        <f t="shared" si="0"/>
        <v>1077.8815715114174</v>
      </c>
      <c r="I20" s="11">
        <f>Consumption!$C$2-'Analysis (A)'!H20</f>
        <v>7222.1184284885821</v>
      </c>
      <c r="J20" s="8">
        <f>I20*'Grid Power'!K30</f>
        <v>1509.644064056871</v>
      </c>
      <c r="K20" s="2">
        <v>0</v>
      </c>
      <c r="L20" s="2">
        <f>IF(MOD(F20,5)=0,Configurations!$G$11,0)</f>
        <v>0</v>
      </c>
      <c r="M20" s="2">
        <v>0</v>
      </c>
      <c r="N20" s="2">
        <f t="shared" si="1"/>
        <v>0</v>
      </c>
      <c r="P20" s="8">
        <f t="shared" si="2"/>
        <v>-1509.644064056871</v>
      </c>
      <c r="Q20" s="8">
        <f>'Analysis (A)'!P20+'Analysis (Nothing)'!D18</f>
        <v>225.31863996193397</v>
      </c>
      <c r="R20" s="2">
        <v>0</v>
      </c>
      <c r="S20" s="8">
        <f>T19*Configurations!$G$6</f>
        <v>197.28402516194527</v>
      </c>
      <c r="T20" s="8">
        <f t="shared" si="4"/>
        <v>460.32939204453896</v>
      </c>
      <c r="U20" s="2">
        <f t="shared" si="5"/>
        <v>28.034614799988702</v>
      </c>
      <c r="V20" s="8">
        <f>U20*Constants!$D$30</f>
        <v>2.8034614799988704</v>
      </c>
      <c r="W20" s="8">
        <f t="shared" si="3"/>
        <v>222.5151784819351</v>
      </c>
      <c r="Y20" s="2">
        <f>W20*(1+Constants!$D$27)^-F20</f>
        <v>172.0114702905295</v>
      </c>
    </row>
    <row r="21" spans="2:25" x14ac:dyDescent="0.25">
      <c r="F21">
        <v>14</v>
      </c>
      <c r="G21" s="73">
        <f>G20*(1-Constants!$D$17)</f>
        <v>0.9322301194154049</v>
      </c>
      <c r="H21" s="11">
        <f t="shared" si="0"/>
        <v>1072.4921636538604</v>
      </c>
      <c r="I21" s="11">
        <f>Consumption!$C$2-'Analysis (A)'!H21</f>
        <v>7227.5078363461398</v>
      </c>
      <c r="J21" s="8">
        <f>I21*'Grid Power'!K31</f>
        <v>1581.4015052316317</v>
      </c>
      <c r="K21" s="2">
        <v>0</v>
      </c>
      <c r="L21" s="2">
        <f>IF(MOD(F21,5)=0,Configurations!$G$11,0)</f>
        <v>0</v>
      </c>
      <c r="M21" s="2">
        <v>0</v>
      </c>
      <c r="N21" s="2">
        <f t="shared" si="1"/>
        <v>0</v>
      </c>
      <c r="P21" s="8">
        <f t="shared" si="2"/>
        <v>-1581.4015052316317</v>
      </c>
      <c r="Q21" s="8">
        <f>'Analysis (A)'!P21+'Analysis (Nothing)'!D19</f>
        <v>234.67341944370946</v>
      </c>
      <c r="R21" s="2">
        <v>0</v>
      </c>
      <c r="S21" s="8">
        <f>T20*Configurations!$G$6</f>
        <v>138.09881761336169</v>
      </c>
      <c r="T21" s="8">
        <f t="shared" si="4"/>
        <v>322.23057443117727</v>
      </c>
      <c r="U21" s="2">
        <f t="shared" si="5"/>
        <v>96.574601830347774</v>
      </c>
      <c r="V21" s="8">
        <f>U21*Constants!$D$30</f>
        <v>9.6574601830347788</v>
      </c>
      <c r="W21" s="8">
        <f t="shared" si="3"/>
        <v>225.01595926067469</v>
      </c>
      <c r="Y21" s="2">
        <f>W21*(1+Constants!$D$27)^-F21</f>
        <v>170.53397565744137</v>
      </c>
    </row>
    <row r="22" spans="2:25" x14ac:dyDescent="0.25">
      <c r="F22">
        <v>15</v>
      </c>
      <c r="G22" s="73">
        <f>G21*(1-Constants!$D$17)</f>
        <v>0.92756896881832784</v>
      </c>
      <c r="H22" s="11">
        <f t="shared" si="0"/>
        <v>1067.1297028355912</v>
      </c>
      <c r="I22" s="11">
        <f>Consumption!$C$2-'Analysis (A)'!H22</f>
        <v>7232.8702971644088</v>
      </c>
      <c r="J22" s="8">
        <f>I22*'Grid Power'!K32</f>
        <v>1656.7216612450388</v>
      </c>
      <c r="K22" s="2">
        <v>0</v>
      </c>
      <c r="L22" s="2">
        <f>IF(MOD(F22,5)=0,Configurations!$G$11,0)</f>
        <v>897.5</v>
      </c>
      <c r="M22" s="2">
        <v>0</v>
      </c>
      <c r="N22" s="2">
        <f t="shared" si="1"/>
        <v>0</v>
      </c>
      <c r="P22" s="8">
        <f t="shared" si="2"/>
        <v>-2554.2216612450388</v>
      </c>
      <c r="Q22" s="8">
        <f>'Analysis (A)'!P22+'Analysis (Nothing)'!D20</f>
        <v>-653.05995195914284</v>
      </c>
      <c r="R22" s="2">
        <f t="shared" ref="R22:R23" si="6">$L$12/2</f>
        <v>448.75</v>
      </c>
      <c r="S22" s="8">
        <f>T21*Configurations!$G$6</f>
        <v>96.669172329353174</v>
      </c>
      <c r="T22" s="8">
        <f t="shared" si="4"/>
        <v>674.31140210182411</v>
      </c>
      <c r="U22" s="2">
        <f t="shared" si="5"/>
        <v>0</v>
      </c>
      <c r="V22" s="8">
        <f>U22*Constants!$D$30</f>
        <v>0</v>
      </c>
      <c r="W22" s="8">
        <f t="shared" si="3"/>
        <v>-653.05995195914284</v>
      </c>
      <c r="Y22" s="2">
        <f>W22*(1+Constants!$D$27)^-F22</f>
        <v>-485.23316387123788</v>
      </c>
    </row>
    <row r="23" spans="2:25" x14ac:dyDescent="0.25">
      <c r="F23">
        <v>16</v>
      </c>
      <c r="G23" s="73">
        <f>G22*(1-Constants!$D$17)</f>
        <v>0.92293112397423616</v>
      </c>
      <c r="H23" s="11">
        <f t="shared" si="0"/>
        <v>1061.7940543214131</v>
      </c>
      <c r="I23" s="11">
        <f>Consumption!$C$2-'Analysis (A)'!H23</f>
        <v>7238.2059456785864</v>
      </c>
      <c r="J23" s="8">
        <f>I23*'Grid Power'!K33</f>
        <v>1735.7850989346521</v>
      </c>
      <c r="K23" s="2">
        <v>0</v>
      </c>
      <c r="L23" s="2">
        <f>IF(MOD(F23,5)=0,Configurations!$G$11,0)</f>
        <v>0</v>
      </c>
      <c r="M23" s="2">
        <v>0</v>
      </c>
      <c r="N23" s="2">
        <f t="shared" si="1"/>
        <v>0</v>
      </c>
      <c r="P23" s="8">
        <f t="shared" si="2"/>
        <v>-1735.7850989346521</v>
      </c>
      <c r="Q23" s="8">
        <f>'Analysis (A)'!P23+'Analysis (Nothing)'!D21</f>
        <v>254.63709417288283</v>
      </c>
      <c r="R23" s="2">
        <f t="shared" si="6"/>
        <v>448.75</v>
      </c>
      <c r="S23" s="8">
        <f>T22*Configurations!$G$6</f>
        <v>202.29342063054722</v>
      </c>
      <c r="T23" s="8">
        <f t="shared" si="4"/>
        <v>920.76798147127693</v>
      </c>
      <c r="U23" s="2">
        <f t="shared" si="5"/>
        <v>52.343673542335608</v>
      </c>
      <c r="V23" s="8">
        <f>U23*Constants!$D$30</f>
        <v>5.2343673542335614</v>
      </c>
      <c r="W23" s="8">
        <f t="shared" si="3"/>
        <v>249.40272681864926</v>
      </c>
      <c r="Y23" s="2">
        <f>W23*(1+Constants!$D$27)^-F23</f>
        <v>181.67637227995988</v>
      </c>
    </row>
    <row r="24" spans="2:25" x14ac:dyDescent="0.25">
      <c r="F24">
        <v>17</v>
      </c>
      <c r="G24" s="73">
        <f>G23*(1-Constants!$D$17)</f>
        <v>0.91831646835436498</v>
      </c>
      <c r="H24" s="11">
        <f t="shared" si="0"/>
        <v>1056.4850840498059</v>
      </c>
      <c r="I24" s="11">
        <f>Consumption!$C$2-'Analysis (A)'!H24</f>
        <v>7243.5149159501943</v>
      </c>
      <c r="J24" s="8">
        <f>I24*'Grid Power'!K34</f>
        <v>1818.7816177230693</v>
      </c>
      <c r="K24" s="2">
        <v>0</v>
      </c>
      <c r="L24" s="2">
        <f>IF(MOD(F24,5)=0,Configurations!$G$11,0)</f>
        <v>0</v>
      </c>
      <c r="M24" s="2">
        <v>0</v>
      </c>
      <c r="N24" s="2">
        <f t="shared" si="1"/>
        <v>0</v>
      </c>
      <c r="P24" s="8">
        <f t="shared" si="2"/>
        <v>-1818.7816177230693</v>
      </c>
      <c r="Q24" s="8">
        <f>'Analysis (A)'!P24+'Analysis (Nothing)'!D22</f>
        <v>265.28397108726585</v>
      </c>
      <c r="R24" s="2">
        <v>0</v>
      </c>
      <c r="S24" s="8">
        <f>T23*Configurations!$G$6</f>
        <v>276.23039444138305</v>
      </c>
      <c r="T24" s="8">
        <f t="shared" si="4"/>
        <v>644.53758702989387</v>
      </c>
      <c r="U24" s="2">
        <f t="shared" si="5"/>
        <v>0</v>
      </c>
      <c r="V24" s="8">
        <f>U24*Constants!$D$30</f>
        <v>0</v>
      </c>
      <c r="W24" s="8">
        <f t="shared" si="3"/>
        <v>265.28397108726585</v>
      </c>
      <c r="Y24" s="2">
        <f>W24*(1+Constants!$D$27)^-F24</f>
        <v>189.45588057255569</v>
      </c>
    </row>
    <row r="25" spans="2:25" x14ac:dyDescent="0.25">
      <c r="F25">
        <v>18</v>
      </c>
      <c r="G25" s="73">
        <f>G24*(1-Constants!$D$17)</f>
        <v>0.91372488601259316</v>
      </c>
      <c r="H25" s="11">
        <f t="shared" si="0"/>
        <v>1051.2026586295569</v>
      </c>
      <c r="I25" s="11">
        <f>Consumption!$C$2-'Analysis (A)'!H25</f>
        <v>7248.7973413704431</v>
      </c>
      <c r="J25" s="8">
        <f>I25*'Grid Power'!K35</f>
        <v>1905.9107232699216</v>
      </c>
      <c r="K25" s="2">
        <v>0</v>
      </c>
      <c r="L25" s="2">
        <f>IF(MOD(F25,5)=0,Configurations!$G$11,0)</f>
        <v>0</v>
      </c>
      <c r="M25" s="2">
        <v>0</v>
      </c>
      <c r="N25" s="2">
        <f t="shared" si="1"/>
        <v>0</v>
      </c>
      <c r="P25" s="8">
        <f t="shared" si="2"/>
        <v>-1905.9107232699216</v>
      </c>
      <c r="Q25" s="8">
        <f>'Analysis (A)'!P25+'Analysis (Nothing)'!D23</f>
        <v>276.40097542885132</v>
      </c>
      <c r="R25" s="2">
        <v>0</v>
      </c>
      <c r="S25" s="8">
        <f>T24*Configurations!$G$6</f>
        <v>193.36127610896816</v>
      </c>
      <c r="T25" s="8">
        <f t="shared" si="4"/>
        <v>451.17631092092574</v>
      </c>
      <c r="U25" s="2">
        <f t="shared" si="5"/>
        <v>83.039699319883169</v>
      </c>
      <c r="V25" s="8">
        <f>U25*Constants!$D$30</f>
        <v>8.303969931988318</v>
      </c>
      <c r="W25" s="8">
        <f t="shared" si="3"/>
        <v>268.09700549686301</v>
      </c>
      <c r="Y25" s="2">
        <f>W25*(1+Constants!$D$27)^-F25</f>
        <v>187.71063179883888</v>
      </c>
    </row>
    <row r="26" spans="2:25" x14ac:dyDescent="0.25">
      <c r="F26">
        <v>19</v>
      </c>
      <c r="G26" s="73">
        <f>G25*(1-Constants!$D$17)</f>
        <v>0.90915626158253016</v>
      </c>
      <c r="H26" s="11">
        <f t="shared" si="0"/>
        <v>1045.9466453364091</v>
      </c>
      <c r="I26" s="11">
        <f>Consumption!$C$2-'Analysis (A)'!H26</f>
        <v>7254.0533546635907</v>
      </c>
      <c r="J26" s="8">
        <f>I26*'Grid Power'!K36</f>
        <v>1997.3821254461154</v>
      </c>
      <c r="K26" s="2">
        <v>0</v>
      </c>
      <c r="L26" s="2">
        <f>IF(MOD(F26,5)=0,Configurations!$G$11,0)</f>
        <v>0</v>
      </c>
      <c r="M26" s="2">
        <v>0</v>
      </c>
      <c r="N26" s="2">
        <f t="shared" si="1"/>
        <v>0</v>
      </c>
      <c r="P26" s="8">
        <f t="shared" si="2"/>
        <v>-1997.3821254461154</v>
      </c>
      <c r="Q26" s="8">
        <f>'Analysis (A)'!P26+'Analysis (Nothing)'!D24</f>
        <v>288.00932757230612</v>
      </c>
      <c r="R26" s="2">
        <v>0</v>
      </c>
      <c r="S26" s="8">
        <f>T25*Configurations!$G$6</f>
        <v>135.35289327627771</v>
      </c>
      <c r="T26" s="8">
        <f t="shared" si="4"/>
        <v>315.82341764464803</v>
      </c>
      <c r="U26" s="2">
        <f t="shared" si="5"/>
        <v>152.65643429602841</v>
      </c>
      <c r="V26" s="8">
        <f>U26*Constants!$D$30</f>
        <v>15.265643429602841</v>
      </c>
      <c r="W26" s="8">
        <f t="shared" si="3"/>
        <v>272.74368414270327</v>
      </c>
      <c r="Y26" s="2">
        <f>W26*(1+Constants!$D$27)^-F26</f>
        <v>187.21965432860443</v>
      </c>
    </row>
    <row r="27" spans="2:25" x14ac:dyDescent="0.25">
      <c r="F27">
        <v>20</v>
      </c>
      <c r="G27" s="73">
        <f>G26*(1-Constants!$D$17)</f>
        <v>0.90461048027461755</v>
      </c>
      <c r="H27" s="11">
        <f t="shared" si="0"/>
        <v>1040.7169121097272</v>
      </c>
      <c r="I27" s="11">
        <f>Consumption!$C$2-'Analysis (A)'!H27</f>
        <v>7259.2830878902732</v>
      </c>
      <c r="J27" s="8">
        <f>I27*'Grid Power'!K37</f>
        <v>2093.4162618792043</v>
      </c>
      <c r="K27" s="2">
        <v>0</v>
      </c>
      <c r="L27" s="2">
        <f>IF(MOD(F27,5)=0,Configurations!$G$11,0)</f>
        <v>897.5</v>
      </c>
      <c r="M27" s="2">
        <v>0</v>
      </c>
      <c r="N27" s="2">
        <f t="shared" si="1"/>
        <v>0</v>
      </c>
      <c r="P27" s="8">
        <f t="shared" si="2"/>
        <v>-2990.9162618792043</v>
      </c>
      <c r="Q27" s="8">
        <f>'Analysis (A)'!P27+'Analysis (Nothing)'!D25</f>
        <v>-597.36878620174002</v>
      </c>
      <c r="R27" s="2">
        <f t="shared" ref="R27:R28" si="7">$L$12/2</f>
        <v>448.75</v>
      </c>
      <c r="S27" s="8">
        <f>T26*Configurations!$G$6</f>
        <v>94.747025293394401</v>
      </c>
      <c r="T27" s="8">
        <f t="shared" si="4"/>
        <v>669.82639235125373</v>
      </c>
      <c r="U27" s="2">
        <f t="shared" si="5"/>
        <v>0</v>
      </c>
      <c r="V27" s="8">
        <f>U27*Constants!$D$30</f>
        <v>0</v>
      </c>
      <c r="W27" s="8">
        <f t="shared" si="3"/>
        <v>-597.36878620174002</v>
      </c>
      <c r="Y27" s="2">
        <f>W27*(1+Constants!$D$27)^-F27</f>
        <v>-402.01206840732732</v>
      </c>
    </row>
    <row r="28" spans="2:25" x14ac:dyDescent="0.25">
      <c r="F28">
        <v>21</v>
      </c>
      <c r="G28" s="73">
        <f>G27*(1-Constants!$D$17)</f>
        <v>0.90008742787324447</v>
      </c>
      <c r="H28" s="11">
        <f t="shared" si="0"/>
        <v>1035.5133275491785</v>
      </c>
      <c r="I28" s="11">
        <f>Consumption!$C$2-'Analysis (A)'!H28</f>
        <v>7264.4866724508211</v>
      </c>
      <c r="J28" s="8">
        <f>I28*'Grid Power'!K38</f>
        <v>2194.2448483828675</v>
      </c>
      <c r="K28" s="2">
        <v>0</v>
      </c>
      <c r="L28" s="2">
        <f>IF(MOD(F28,5)=0,Configurations!$G$11,0)</f>
        <v>0</v>
      </c>
      <c r="M28" s="2">
        <v>0</v>
      </c>
      <c r="N28" s="2">
        <f t="shared" si="1"/>
        <v>0</v>
      </c>
      <c r="P28" s="8">
        <f t="shared" si="2"/>
        <v>-2194.2448483828675</v>
      </c>
      <c r="Q28" s="8">
        <f>'Analysis (A)'!P28+'Analysis (Nothing)'!D26</f>
        <v>312.78983039746345</v>
      </c>
      <c r="R28" s="2">
        <f t="shared" si="7"/>
        <v>448.75</v>
      </c>
      <c r="S28" s="8">
        <f>T27*Configurations!$G$6</f>
        <v>200.94791770537611</v>
      </c>
      <c r="T28" s="8">
        <f t="shared" si="4"/>
        <v>917.62847464587753</v>
      </c>
      <c r="U28" s="2">
        <f t="shared" si="5"/>
        <v>111.84191269208733</v>
      </c>
      <c r="V28" s="8">
        <f>U28*Constants!$D$30</f>
        <v>11.184191269208734</v>
      </c>
      <c r="W28" s="8">
        <f t="shared" si="3"/>
        <v>301.60563912825472</v>
      </c>
      <c r="Y28" s="2">
        <f>W28*(1+Constants!$D$27)^-F28</f>
        <v>198.99210689906801</v>
      </c>
    </row>
    <row r="29" spans="2:25" x14ac:dyDescent="0.25">
      <c r="F29">
        <v>22</v>
      </c>
      <c r="G29" s="73">
        <f>G28*(1-Constants!$D$17)</f>
        <v>0.89558699073387826</v>
      </c>
      <c r="H29" s="11">
        <f t="shared" si="0"/>
        <v>1030.3357609114325</v>
      </c>
      <c r="I29" s="11">
        <f>Consumption!$C$2-'Analysis (A)'!H29</f>
        <v>7269.6642390885672</v>
      </c>
      <c r="J29" s="8">
        <f>I29*'Grid Power'!K39</f>
        <v>2300.1114576508803</v>
      </c>
      <c r="K29" s="2">
        <v>0</v>
      </c>
      <c r="L29" s="2">
        <f>IF(MOD(F29,5)=0,Configurations!$G$11,0)</f>
        <v>0</v>
      </c>
      <c r="M29" s="2">
        <v>0</v>
      </c>
      <c r="N29" s="2">
        <f t="shared" si="1"/>
        <v>0</v>
      </c>
      <c r="P29" s="8">
        <f t="shared" si="2"/>
        <v>-2300.1114576508803</v>
      </c>
      <c r="Q29" s="8">
        <f>'Analysis (A)'!P29+'Analysis (Nothing)'!D27</f>
        <v>326.00942979111596</v>
      </c>
      <c r="R29" s="2">
        <v>0</v>
      </c>
      <c r="S29" s="8">
        <f>T28*Configurations!$G$6</f>
        <v>275.28854239376324</v>
      </c>
      <c r="T29" s="8">
        <f t="shared" si="4"/>
        <v>642.33993225211429</v>
      </c>
      <c r="U29" s="2">
        <f t="shared" si="5"/>
        <v>50.720887397352726</v>
      </c>
      <c r="V29" s="8">
        <f>U29*Constants!$D$30</f>
        <v>5.072088739735273</v>
      </c>
      <c r="W29" s="8">
        <f t="shared" si="3"/>
        <v>320.93734105138071</v>
      </c>
      <c r="Y29" s="2">
        <f>W29*(1+Constants!$D$27)^-F29</f>
        <v>207.59480031863038</v>
      </c>
    </row>
    <row r="30" spans="2:25" x14ac:dyDescent="0.25">
      <c r="F30">
        <v>23</v>
      </c>
      <c r="G30" s="73">
        <f>G29*(1-Constants!$D$17)</f>
        <v>0.89110905578020883</v>
      </c>
      <c r="H30" s="11">
        <f t="shared" si="0"/>
        <v>1025.1840821068754</v>
      </c>
      <c r="I30" s="11">
        <f>Consumption!$C$2-'Analysis (A)'!H30</f>
        <v>7274.8159178931246</v>
      </c>
      <c r="J30" s="8">
        <f>I30*'Grid Power'!K40</f>
        <v>2411.2721276667717</v>
      </c>
      <c r="K30" s="2">
        <v>0</v>
      </c>
      <c r="L30" s="2">
        <f>IF(MOD(F30,5)=0,Configurations!$G$11,0)</f>
        <v>0</v>
      </c>
      <c r="M30" s="2">
        <v>0</v>
      </c>
      <c r="N30" s="2">
        <f t="shared" si="1"/>
        <v>0</v>
      </c>
      <c r="P30" s="8">
        <f t="shared" si="2"/>
        <v>-2411.2721276667717</v>
      </c>
      <c r="Q30" s="8">
        <f>'Analysis (A)'!P30+'Analysis (Nothing)'!D28</f>
        <v>339.81536875960001</v>
      </c>
      <c r="R30" s="2">
        <v>0</v>
      </c>
      <c r="S30" s="8">
        <f>T29*Configurations!$G$6</f>
        <v>192.70197967563428</v>
      </c>
      <c r="T30" s="8">
        <f t="shared" si="4"/>
        <v>449.63795257648002</v>
      </c>
      <c r="U30" s="2">
        <f t="shared" si="5"/>
        <v>147.11338908396573</v>
      </c>
      <c r="V30" s="8">
        <f>U30*Constants!$D$30</f>
        <v>14.711338908396574</v>
      </c>
      <c r="W30" s="8">
        <f t="shared" si="3"/>
        <v>325.10402985120345</v>
      </c>
      <c r="Y30" s="2">
        <f>W30*(1+Constants!$D$27)^-F30</f>
        <v>206.16664439748496</v>
      </c>
    </row>
    <row r="31" spans="2:25" x14ac:dyDescent="0.25">
      <c r="F31">
        <v>24</v>
      </c>
      <c r="G31" s="73">
        <f>G30*(1-Constants!$D$17)</f>
        <v>0.88665351050130781</v>
      </c>
      <c r="H31" s="11">
        <f t="shared" si="0"/>
        <v>1020.058161696341</v>
      </c>
      <c r="I31" s="11">
        <f>Consumption!$C$2-'Analysis (A)'!H31</f>
        <v>7279.9418383036591</v>
      </c>
      <c r="J31" s="8">
        <f>I31*'Grid Power'!K41</f>
        <v>2527.9960013548803</v>
      </c>
      <c r="K31" s="2">
        <v>0</v>
      </c>
      <c r="L31" s="2">
        <f>IF(MOD(F31,5)=0,Configurations!$G$11,0)</f>
        <v>0</v>
      </c>
      <c r="M31" s="2">
        <v>0</v>
      </c>
      <c r="N31" s="2">
        <f t="shared" si="1"/>
        <v>0</v>
      </c>
      <c r="P31" s="8">
        <f t="shared" si="2"/>
        <v>-2527.9960013548803</v>
      </c>
      <c r="Q31" s="8">
        <f>'Analysis (A)'!P31+'Analysis (Nothing)'!D29</f>
        <v>354.23415887601641</v>
      </c>
      <c r="R31" s="2">
        <v>0</v>
      </c>
      <c r="S31" s="8">
        <f>T30*Configurations!$G$6</f>
        <v>134.89138577294401</v>
      </c>
      <c r="T31" s="8">
        <f t="shared" si="4"/>
        <v>314.74656680353598</v>
      </c>
      <c r="U31" s="2">
        <f t="shared" si="5"/>
        <v>219.3427731030724</v>
      </c>
      <c r="V31" s="8">
        <f>U31*Constants!$D$30</f>
        <v>21.934277310307241</v>
      </c>
      <c r="W31" s="8">
        <f t="shared" si="3"/>
        <v>332.29988156570914</v>
      </c>
      <c r="Y31" s="2">
        <f>W31*(1+Constants!$D$27)^-F31</f>
        <v>206.59797680893462</v>
      </c>
    </row>
    <row r="32" spans="2:25" x14ac:dyDescent="0.25">
      <c r="F32">
        <v>25</v>
      </c>
      <c r="G32" s="73">
        <f>G31*(1-Constants!$D$17)</f>
        <v>0.8822202429488013</v>
      </c>
      <c r="H32" s="11">
        <f t="shared" si="0"/>
        <v>1014.9578708878594</v>
      </c>
      <c r="I32" s="11">
        <f>Consumption!$C$2-'Analysis (A)'!H32</f>
        <v>7285.0421291121402</v>
      </c>
      <c r="J32" s="8">
        <f>I32*'Grid Power'!K42</f>
        <v>2650.5659990767804</v>
      </c>
      <c r="K32" s="2">
        <v>0</v>
      </c>
      <c r="L32" s="2">
        <f>IF(MOD(F32,5)=0,Configurations!$G$11,0)</f>
        <v>897.5</v>
      </c>
      <c r="M32" s="2">
        <v>0</v>
      </c>
      <c r="N32" s="2">
        <f t="shared" si="1"/>
        <v>0</v>
      </c>
      <c r="P32" s="8">
        <f t="shared" si="2"/>
        <v>-3548.0659990767804</v>
      </c>
      <c r="Q32" s="8">
        <f>'Analysis (A)'!P32+'Analysis (Nothing)'!D30</f>
        <v>-528.20648075461895</v>
      </c>
      <c r="R32" s="2">
        <f t="shared" ref="R32:R33" si="8">$L$12/2</f>
        <v>448.75</v>
      </c>
      <c r="S32" s="8">
        <f>T31*Configurations!$G$6</f>
        <v>94.423970041060798</v>
      </c>
      <c r="T32" s="8">
        <f t="shared" si="4"/>
        <v>669.0725967624752</v>
      </c>
      <c r="U32" s="2">
        <f t="shared" si="5"/>
        <v>0</v>
      </c>
      <c r="V32" s="8">
        <f>U32*Constants!$D$30</f>
        <v>0</v>
      </c>
      <c r="W32" s="8">
        <f t="shared" si="3"/>
        <v>-528.20648075461895</v>
      </c>
      <c r="Y32" s="2">
        <f>W32*(1+Constants!$D$27)^-F32</f>
        <v>-321.95815603304175</v>
      </c>
    </row>
    <row r="33" spans="6:25" x14ac:dyDescent="0.25">
      <c r="F33">
        <v>26</v>
      </c>
      <c r="G33" s="73">
        <f>G32*(1-Constants!$D$17)</f>
        <v>0.87780914173405733</v>
      </c>
      <c r="H33" s="11">
        <f t="shared" si="0"/>
        <v>1009.8830815334202</v>
      </c>
      <c r="I33" s="11">
        <f>Consumption!$C$2-'Analysis (A)'!H33</f>
        <v>7290.1169184665796</v>
      </c>
      <c r="J33" s="8">
        <f>I33*'Grid Power'!K43</f>
        <v>2779.2795256593899</v>
      </c>
      <c r="K33" s="2">
        <v>0</v>
      </c>
      <c r="L33" s="2">
        <f>IF(MOD(F33,5)=0,Configurations!$G$11,0)</f>
        <v>0</v>
      </c>
      <c r="M33" s="2">
        <v>0</v>
      </c>
      <c r="N33" s="2">
        <f t="shared" si="1"/>
        <v>0</v>
      </c>
      <c r="P33" s="8">
        <f t="shared" si="2"/>
        <v>-2779.2795256593899</v>
      </c>
      <c r="Q33" s="8">
        <f>'Analysis (A)'!P33+'Analysis (Nothing)'!D31</f>
        <v>385.02243165492018</v>
      </c>
      <c r="R33" s="2">
        <f t="shared" si="8"/>
        <v>448.75</v>
      </c>
      <c r="S33" s="8">
        <f>T32*Configurations!$G$6</f>
        <v>200.72177902874256</v>
      </c>
      <c r="T33" s="8">
        <f t="shared" si="4"/>
        <v>917.10081773373281</v>
      </c>
      <c r="U33" s="2">
        <f t="shared" si="5"/>
        <v>184.30065262617762</v>
      </c>
      <c r="V33" s="8">
        <f>U33*Constants!$D$30</f>
        <v>18.430065262617763</v>
      </c>
      <c r="W33" s="8">
        <f t="shared" si="3"/>
        <v>366.59236639230244</v>
      </c>
      <c r="Y33" s="2">
        <f>W33*(1+Constants!$D$27)^-F33</f>
        <v>219.06800413345294</v>
      </c>
    </row>
    <row r="34" spans="6:25" x14ac:dyDescent="0.25">
      <c r="F34">
        <v>27</v>
      </c>
      <c r="G34" s="73">
        <f>G33*(1-Constants!$D$17)</f>
        <v>0.87342009602538706</v>
      </c>
      <c r="H34" s="11">
        <f t="shared" si="0"/>
        <v>1004.8336661257531</v>
      </c>
      <c r="I34" s="11">
        <f>Consumption!$C$2-'Analysis (A)'!H34</f>
        <v>7295.1663338742474</v>
      </c>
      <c r="J34" s="8">
        <f>I34*'Grid Power'!K44</f>
        <v>2914.449213727592</v>
      </c>
      <c r="K34" s="2">
        <v>0</v>
      </c>
      <c r="L34" s="2">
        <f>IF(MOD(F34,5)=0,Configurations!$G$11,0)</f>
        <v>0</v>
      </c>
      <c r="M34" s="2">
        <v>0</v>
      </c>
      <c r="N34" s="2">
        <f t="shared" si="1"/>
        <v>0</v>
      </c>
      <c r="P34" s="8">
        <f t="shared" si="2"/>
        <v>-2914.449213727592</v>
      </c>
      <c r="Q34" s="8">
        <f>'Analysis (A)'!P34+'Analysis (Nothing)'!D32</f>
        <v>401.45119824573567</v>
      </c>
      <c r="R34" s="2">
        <v>0</v>
      </c>
      <c r="S34" s="8">
        <f>T33*Configurations!$G$6</f>
        <v>275.13024532011985</v>
      </c>
      <c r="T34" s="8">
        <f t="shared" si="4"/>
        <v>641.9705724136129</v>
      </c>
      <c r="U34" s="2">
        <f t="shared" si="5"/>
        <v>126.32095292561581</v>
      </c>
      <c r="V34" s="8">
        <f>U34*Constants!$D$30</f>
        <v>12.632095292561582</v>
      </c>
      <c r="W34" s="8">
        <f t="shared" si="3"/>
        <v>388.81910295317408</v>
      </c>
      <c r="Y34" s="2">
        <f>W34*(1+Constants!$D$27)^-F34</f>
        <v>227.79435438396087</v>
      </c>
    </row>
    <row r="35" spans="6:25" x14ac:dyDescent="0.25">
      <c r="F35">
        <v>28</v>
      </c>
      <c r="G35" s="73">
        <f>G34*(1-Constants!$D$17)</f>
        <v>0.86905299554526017</v>
      </c>
      <c r="H35" s="11">
        <f t="shared" si="0"/>
        <v>999.80949779512434</v>
      </c>
      <c r="I35" s="11">
        <f>Consumption!$C$2-'Analysis (A)'!H35</f>
        <v>7300.1905022048759</v>
      </c>
      <c r="J35" s="8">
        <f>I35*'Grid Power'!K45</f>
        <v>3056.4037052051854</v>
      </c>
      <c r="K35" s="2">
        <v>0</v>
      </c>
      <c r="L35" s="2">
        <f>IF(MOD(F35,5)=0,Configurations!$G$11,0)</f>
        <v>0</v>
      </c>
      <c r="M35" s="2">
        <v>0</v>
      </c>
      <c r="N35" s="2">
        <f t="shared" si="1"/>
        <v>0</v>
      </c>
      <c r="P35" s="8">
        <f t="shared" si="2"/>
        <v>-3056.4037052051854</v>
      </c>
      <c r="Q35" s="8">
        <f>'Analysis (A)'!P35+'Analysis (Nothing)'!D33</f>
        <v>418.61150182116171</v>
      </c>
      <c r="R35" s="2">
        <v>0</v>
      </c>
      <c r="S35" s="8">
        <f>T34*Configurations!$G$6</f>
        <v>192.59117172408386</v>
      </c>
      <c r="T35" s="8">
        <f t="shared" si="4"/>
        <v>449.37940068952901</v>
      </c>
      <c r="U35" s="2">
        <f t="shared" si="5"/>
        <v>226.02033009707785</v>
      </c>
      <c r="V35" s="8">
        <f>U35*Constants!$D$30</f>
        <v>22.602033009707785</v>
      </c>
      <c r="W35" s="8">
        <f t="shared" si="3"/>
        <v>396.00946881145393</v>
      </c>
      <c r="Y35" s="2">
        <f>W35*(1+Constants!$D$27)^-F35</f>
        <v>227.45776159064667</v>
      </c>
    </row>
    <row r="36" spans="6:25" x14ac:dyDescent="0.25">
      <c r="F36">
        <v>29</v>
      </c>
      <c r="G36" s="73">
        <f>G35*(1-Constants!$D$17)</f>
        <v>0.86470773056753381</v>
      </c>
      <c r="H36" s="11">
        <f t="shared" si="0"/>
        <v>994.81045030614871</v>
      </c>
      <c r="I36" s="11">
        <f>Consumption!$C$2-'Analysis (A)'!H36</f>
        <v>7305.1895496938514</v>
      </c>
      <c r="J36" s="8">
        <f>I36*'Grid Power'!K46</f>
        <v>3205.488472943603</v>
      </c>
      <c r="K36" s="2">
        <v>0</v>
      </c>
      <c r="L36" s="2">
        <f>IF(MOD(F36,5)=0,Configurations!$G$11,0)</f>
        <v>0</v>
      </c>
      <c r="M36" s="2">
        <v>0</v>
      </c>
      <c r="N36" s="2">
        <f t="shared" si="1"/>
        <v>0</v>
      </c>
      <c r="P36" s="8">
        <f t="shared" si="2"/>
        <v>-3205.488472943603</v>
      </c>
      <c r="Q36" s="8">
        <f>'Analysis (A)'!P36+'Analysis (Nothing)'!D34</f>
        <v>436.53646891239941</v>
      </c>
      <c r="R36" s="2">
        <v>0</v>
      </c>
      <c r="S36" s="8">
        <f>T35*Configurations!$G$6</f>
        <v>134.81382020685871</v>
      </c>
      <c r="T36" s="8">
        <f t="shared" si="4"/>
        <v>314.56558048267027</v>
      </c>
      <c r="U36" s="2">
        <f t="shared" si="5"/>
        <v>301.72264870554068</v>
      </c>
      <c r="V36" s="8">
        <f>U36*Constants!$D$30</f>
        <v>30.17226487055407</v>
      </c>
      <c r="W36" s="8">
        <f t="shared" si="3"/>
        <v>406.36420404184537</v>
      </c>
      <c r="Y36" s="2">
        <f>W36*(1+Constants!$D$27)^-F36</f>
        <v>228.82868432249586</v>
      </c>
    </row>
    <row r="37" spans="6:25" x14ac:dyDescent="0.25">
      <c r="F37">
        <v>30</v>
      </c>
      <c r="G37" s="73">
        <f>G36*(1-Constants!$D$17)</f>
        <v>0.86038419191469617</v>
      </c>
      <c r="H37" s="11">
        <f t="shared" si="0"/>
        <v>989.83639805461792</v>
      </c>
      <c r="I37" s="11">
        <f>Consumption!$C$2-'Analysis (A)'!H37</f>
        <v>7310.1636019453817</v>
      </c>
      <c r="J37" s="8">
        <f>I37*'Grid Power'!K47</f>
        <v>3362.066684538403</v>
      </c>
      <c r="K37" s="2">
        <v>0</v>
      </c>
      <c r="L37" s="2">
        <f>IF(MOD(F37,5)=0,Configurations!$G$11,0)</f>
        <v>897.5</v>
      </c>
      <c r="M37" s="2">
        <v>0</v>
      </c>
      <c r="N37" s="2">
        <f t="shared" si="1"/>
        <v>0</v>
      </c>
      <c r="P37" s="8">
        <f t="shared" si="2"/>
        <v>-4259.566684538403</v>
      </c>
      <c r="Q37" s="8">
        <f>'Analysis (A)'!P37+'Analysis (Nothing)'!D35</f>
        <v>-442.23926427246397</v>
      </c>
      <c r="R37" s="2">
        <f t="shared" ref="R37:R38" si="9">$L$12/2</f>
        <v>448.75</v>
      </c>
      <c r="S37" s="8">
        <f>T36*Configurations!$G$6</f>
        <v>94.369674144801081</v>
      </c>
      <c r="T37" s="8">
        <f t="shared" si="4"/>
        <v>668.94590633786925</v>
      </c>
      <c r="U37" s="2">
        <f t="shared" si="5"/>
        <v>0</v>
      </c>
      <c r="V37" s="8">
        <f>U37*Constants!$D$30</f>
        <v>0</v>
      </c>
      <c r="W37" s="8">
        <f t="shared" si="3"/>
        <v>-442.23926427246397</v>
      </c>
      <c r="Y37" s="2">
        <f>W37*(1+Constants!$D$27)^-F37</f>
        <v>-244.14742376872141</v>
      </c>
    </row>
    <row r="38" spans="6:25" x14ac:dyDescent="0.25">
      <c r="F38">
        <v>31</v>
      </c>
      <c r="G38" s="73">
        <f>G37*(1-Constants!$D$17)</f>
        <v>0.85608227095512268</v>
      </c>
      <c r="H38" s="11">
        <f t="shared" si="0"/>
        <v>984.8872160643449</v>
      </c>
      <c r="I38" s="11">
        <f>Consumption!$C$2-'Analysis (A)'!H38</f>
        <v>7315.112783935655</v>
      </c>
      <c r="J38" s="8">
        <f>I38*'Grid Power'!K48</f>
        <v>3526.5201104992129</v>
      </c>
      <c r="K38" s="2">
        <v>0</v>
      </c>
      <c r="L38" s="2">
        <f>IF(MOD(F38,5)=0,Configurations!$G$11,0)</f>
        <v>0</v>
      </c>
      <c r="M38" s="2">
        <v>0</v>
      </c>
      <c r="N38" s="2">
        <f t="shared" si="1"/>
        <v>0</v>
      </c>
      <c r="P38" s="8">
        <f t="shared" si="2"/>
        <v>-3526.5201104992129</v>
      </c>
      <c r="Q38" s="8">
        <f>'Analysis (A)'!P38+'Analysis (Nothing)'!D36</f>
        <v>474.82051711582653</v>
      </c>
      <c r="R38" s="2">
        <f t="shared" si="9"/>
        <v>448.75</v>
      </c>
      <c r="S38" s="8">
        <f>T37*Configurations!$G$6</f>
        <v>200.68377190136076</v>
      </c>
      <c r="T38" s="8">
        <f t="shared" si="4"/>
        <v>917.01213443650852</v>
      </c>
      <c r="U38" s="2">
        <f t="shared" si="5"/>
        <v>274.1367452144658</v>
      </c>
      <c r="V38" s="8">
        <f>U38*Constants!$D$30</f>
        <v>27.41367452144658</v>
      </c>
      <c r="W38" s="8">
        <f t="shared" si="3"/>
        <v>447.40684259437995</v>
      </c>
      <c r="Y38" s="2">
        <f>W38*(1+Constants!$D$27)^-F38</f>
        <v>242.15715032036763</v>
      </c>
    </row>
    <row r="39" spans="6:25" x14ac:dyDescent="0.25">
      <c r="F39">
        <v>32</v>
      </c>
      <c r="G39" s="73">
        <f>G38*(1-Constants!$D$17)</f>
        <v>0.85180185960034704</v>
      </c>
      <c r="H39" s="11">
        <f t="shared" si="0"/>
        <v>979.96277998402309</v>
      </c>
      <c r="I39" s="11">
        <f>Consumption!$C$2-'Analysis (A)'!H39</f>
        <v>7320.0372200159773</v>
      </c>
      <c r="J39" s="8">
        <f>I39*'Grid Power'!K49</f>
        <v>3699.2500790499439</v>
      </c>
      <c r="K39" s="2">
        <v>0</v>
      </c>
      <c r="L39" s="2">
        <f>IF(MOD(F39,5)=0,Configurations!$G$11,0)</f>
        <v>0</v>
      </c>
      <c r="M39" s="2">
        <v>0</v>
      </c>
      <c r="N39" s="2">
        <f t="shared" si="1"/>
        <v>0</v>
      </c>
      <c r="P39" s="8">
        <f t="shared" si="2"/>
        <v>-3699.2500790499439</v>
      </c>
      <c r="Q39" s="8">
        <f>'Analysis (A)'!P39+'Analysis (Nothing)'!D37</f>
        <v>495.25367868514104</v>
      </c>
      <c r="R39" s="2">
        <v>0</v>
      </c>
      <c r="S39" s="8">
        <f>T38*Configurations!$G$6</f>
        <v>275.10364033095254</v>
      </c>
      <c r="T39" s="8">
        <f t="shared" si="4"/>
        <v>641.90849410555597</v>
      </c>
      <c r="U39" s="2">
        <f t="shared" si="5"/>
        <v>220.1500383541885</v>
      </c>
      <c r="V39" s="8">
        <f>U39*Constants!$D$30</f>
        <v>22.015003835418852</v>
      </c>
      <c r="W39" s="8">
        <f t="shared" si="3"/>
        <v>473.2386748497222</v>
      </c>
      <c r="Y39" s="2">
        <f>W39*(1+Constants!$D$27)^-F39</f>
        <v>251.11620138789087</v>
      </c>
    </row>
    <row r="40" spans="6:25" x14ac:dyDescent="0.25">
      <c r="F40">
        <v>33</v>
      </c>
      <c r="G40" s="73">
        <f>G39*(1-Constants!$D$17)</f>
        <v>0.84754285030234533</v>
      </c>
      <c r="H40" s="11">
        <f t="shared" si="0"/>
        <v>975.06296608410298</v>
      </c>
      <c r="I40" s="11">
        <f>Consumption!$C$2-'Analysis (A)'!H40</f>
        <v>7324.9370339158968</v>
      </c>
      <c r="J40" s="8">
        <f>I40*'Grid Power'!K50</f>
        <v>3880.6784799529096</v>
      </c>
      <c r="K40" s="2">
        <v>0</v>
      </c>
      <c r="L40" s="2">
        <f>IF(MOD(F40,5)=0,Configurations!$G$11,0)</f>
        <v>0</v>
      </c>
      <c r="M40" s="2">
        <v>0</v>
      </c>
      <c r="N40" s="2">
        <f t="shared" si="1"/>
        <v>0</v>
      </c>
      <c r="P40" s="8">
        <f t="shared" si="2"/>
        <v>-3880.6784799529096</v>
      </c>
      <c r="Q40" s="8">
        <f>'Analysis (A)'!P40+'Analysis (Nothing)'!D38</f>
        <v>516.59981221680027</v>
      </c>
      <c r="R40" s="2">
        <v>0</v>
      </c>
      <c r="S40" s="8">
        <f>T39*Configurations!$G$6</f>
        <v>192.57254823166679</v>
      </c>
      <c r="T40" s="8">
        <f t="shared" si="4"/>
        <v>449.33594587388916</v>
      </c>
      <c r="U40" s="2">
        <f t="shared" si="5"/>
        <v>324.02726398513346</v>
      </c>
      <c r="V40" s="8">
        <f>U40*Constants!$D$30</f>
        <v>32.402726398513344</v>
      </c>
      <c r="W40" s="8">
        <f t="shared" si="3"/>
        <v>484.19708581828695</v>
      </c>
      <c r="Y40" s="2">
        <f>W40*(1+Constants!$D$27)^-F40</f>
        <v>251.89323451122155</v>
      </c>
    </row>
    <row r="41" spans="6:25" x14ac:dyDescent="0.25">
      <c r="F41">
        <v>34</v>
      </c>
      <c r="G41" s="73">
        <f>G40*(1-Constants!$D$17)</f>
        <v>0.84330513605083357</v>
      </c>
      <c r="H41" s="11">
        <f t="shared" si="0"/>
        <v>970.18765125368247</v>
      </c>
      <c r="I41" s="11">
        <f>Consumption!$C$2-'Analysis (A)'!H41</f>
        <v>7329.8123487463172</v>
      </c>
      <c r="J41" s="8">
        <f>I41*'Grid Power'!K51</f>
        <v>4071.2488198732854</v>
      </c>
      <c r="K41" s="2">
        <v>0</v>
      </c>
      <c r="L41" s="2">
        <f>IF(MOD(F41,5)=0,Configurations!$G$11,0)</f>
        <v>0</v>
      </c>
      <c r="M41" s="2">
        <v>0</v>
      </c>
      <c r="N41" s="2">
        <f t="shared" si="1"/>
        <v>0</v>
      </c>
      <c r="P41" s="8">
        <f t="shared" si="2"/>
        <v>-4071.2488198732854</v>
      </c>
      <c r="Q41" s="8">
        <f>'Analysis (A)'!P41+'Analysis (Nothing)'!D39</f>
        <v>538.90031452859785</v>
      </c>
      <c r="R41" s="2">
        <v>0</v>
      </c>
      <c r="S41" s="8">
        <f>T40*Configurations!$G$6</f>
        <v>134.80078376216673</v>
      </c>
      <c r="T41" s="8">
        <f t="shared" si="4"/>
        <v>314.53516211172246</v>
      </c>
      <c r="U41" s="2">
        <f t="shared" si="5"/>
        <v>404.09953076643114</v>
      </c>
      <c r="V41" s="8">
        <f>U41*Constants!$D$30</f>
        <v>40.40995307664312</v>
      </c>
      <c r="W41" s="8">
        <f t="shared" si="3"/>
        <v>498.49036145195475</v>
      </c>
      <c r="Y41" s="2">
        <f>W41*(1+Constants!$D$27)^-F41</f>
        <v>254.24412463382308</v>
      </c>
    </row>
    <row r="42" spans="6:25" x14ac:dyDescent="0.25">
      <c r="F42">
        <v>35</v>
      </c>
      <c r="G42" s="73">
        <f>G41*(1-Constants!$D$17)</f>
        <v>0.83908861037057936</v>
      </c>
      <c r="H42" s="11">
        <f t="shared" si="0"/>
        <v>965.336712997414</v>
      </c>
      <c r="I42" s="11">
        <f>Consumption!$C$2-'Analysis (A)'!H42</f>
        <v>7334.663287002586</v>
      </c>
      <c r="J42" s="8">
        <f>I42*'Grid Power'!K52</f>
        <v>4271.4273319294516</v>
      </c>
      <c r="K42" s="2">
        <v>0</v>
      </c>
      <c r="L42" s="2">
        <f>IF(MOD(F42,5)=0,Configurations!$G$11,0)</f>
        <v>897.5</v>
      </c>
      <c r="M42" s="2">
        <v>0</v>
      </c>
      <c r="N42" s="2">
        <f t="shared" si="1"/>
        <v>0</v>
      </c>
      <c r="P42" s="8">
        <f t="shared" si="2"/>
        <v>-5168.9273319294516</v>
      </c>
      <c r="Q42" s="8">
        <f>'Analysis (A)'!P42+'Analysis (Nothing)'!D40</f>
        <v>-335.30153005626107</v>
      </c>
      <c r="R42" s="2">
        <f t="shared" ref="R42:R43" si="10">$L$12/2</f>
        <v>448.75</v>
      </c>
      <c r="S42" s="8">
        <f>T41*Configurations!$G$6</f>
        <v>94.360548633516729</v>
      </c>
      <c r="T42" s="8">
        <f t="shared" si="4"/>
        <v>668.92461347820574</v>
      </c>
      <c r="U42" s="2">
        <f t="shared" si="5"/>
        <v>0</v>
      </c>
      <c r="V42" s="8">
        <f>U42*Constants!$D$30</f>
        <v>0</v>
      </c>
      <c r="W42" s="8">
        <f t="shared" si="3"/>
        <v>-335.30153005626107</v>
      </c>
      <c r="Y42" s="2">
        <f>W42*(1+Constants!$D$27)^-F42</f>
        <v>-167.66002382975293</v>
      </c>
    </row>
    <row r="43" spans="6:25" x14ac:dyDescent="0.25">
      <c r="F43">
        <v>36</v>
      </c>
      <c r="G43" s="73">
        <f>G42*(1-Constants!$D$17)</f>
        <v>0.83489316731872643</v>
      </c>
      <c r="H43" s="11">
        <f t="shared" si="0"/>
        <v>960.5100294324269</v>
      </c>
      <c r="I43" s="11">
        <f>Consumption!$C$2-'Analysis (A)'!H43</f>
        <v>7339.4899705675734</v>
      </c>
      <c r="J43" s="8">
        <f>I43*'Grid Power'!K53</f>
        <v>4481.7041422105012</v>
      </c>
      <c r="K43" s="2">
        <v>0</v>
      </c>
      <c r="L43" s="2">
        <f>IF(MOD(F43,5)=0,Configurations!$G$11,0)</f>
        <v>0</v>
      </c>
      <c r="M43" s="2">
        <v>0</v>
      </c>
      <c r="N43" s="2">
        <f t="shared" si="1"/>
        <v>0</v>
      </c>
      <c r="P43" s="8">
        <f t="shared" si="2"/>
        <v>-4481.7041422105012</v>
      </c>
      <c r="Q43" s="8">
        <f>'Analysis (A)'!P43+'Analysis (Nothing)'!D41</f>
        <v>586.53953653060489</v>
      </c>
      <c r="R43" s="2">
        <f t="shared" si="10"/>
        <v>448.75</v>
      </c>
      <c r="S43" s="8">
        <f>T42*Configurations!$G$6</f>
        <v>200.67738404346173</v>
      </c>
      <c r="T43" s="8">
        <f t="shared" si="4"/>
        <v>916.99722943474387</v>
      </c>
      <c r="U43" s="2">
        <f t="shared" si="5"/>
        <v>385.86215248714313</v>
      </c>
      <c r="V43" s="8">
        <f>U43*Constants!$D$30</f>
        <v>38.586215248714318</v>
      </c>
      <c r="W43" s="8">
        <f t="shared" si="3"/>
        <v>547.95332128189057</v>
      </c>
      <c r="Y43" s="2">
        <f>W43*(1+Constants!$D$27)^-F43</f>
        <v>268.61940340478827</v>
      </c>
    </row>
    <row r="44" spans="6:25" x14ac:dyDescent="0.25">
      <c r="F44">
        <v>37</v>
      </c>
      <c r="G44" s="73">
        <f>G43*(1-Constants!$D$17)</f>
        <v>0.83071870148213278</v>
      </c>
      <c r="H44" s="11">
        <f t="shared" si="0"/>
        <v>955.70747928526475</v>
      </c>
      <c r="I44" s="11">
        <f>Consumption!$C$2-'Analysis (A)'!H44</f>
        <v>7344.2925207147355</v>
      </c>
      <c r="J44" s="8">
        <f>I44*'Grid Power'!K54</f>
        <v>4702.5944961848627</v>
      </c>
      <c r="K44" s="2">
        <v>0</v>
      </c>
      <c r="L44" s="2">
        <f>IF(MOD(F44,5)=0,Configurations!$G$11,0)</f>
        <v>0</v>
      </c>
      <c r="M44" s="2">
        <v>0</v>
      </c>
      <c r="N44" s="2">
        <f t="shared" si="1"/>
        <v>0</v>
      </c>
      <c r="P44" s="8">
        <f t="shared" si="2"/>
        <v>-4702.5944961848627</v>
      </c>
      <c r="Q44" s="8">
        <f>'Analysis (A)'!P44+'Analysis (Nothing)'!D42</f>
        <v>611.97083628581368</v>
      </c>
      <c r="R44" s="2">
        <v>0</v>
      </c>
      <c r="S44" s="8">
        <f>T43*Configurations!$G$6</f>
        <v>275.09916883042314</v>
      </c>
      <c r="T44" s="8">
        <f t="shared" si="4"/>
        <v>641.89806060432079</v>
      </c>
      <c r="U44" s="2">
        <f t="shared" si="5"/>
        <v>336.87166745539054</v>
      </c>
      <c r="V44" s="8">
        <f>U44*Constants!$D$30</f>
        <v>33.687166745539052</v>
      </c>
      <c r="W44" s="8">
        <f t="shared" si="3"/>
        <v>578.28366954027467</v>
      </c>
      <c r="Y44" s="2">
        <f>W44*(1+Constants!$D$27)^-F44</f>
        <v>277.92945321499434</v>
      </c>
    </row>
    <row r="45" spans="6:25" x14ac:dyDescent="0.25">
      <c r="F45">
        <v>38</v>
      </c>
      <c r="G45" s="73">
        <f>G44*(1-Constants!$D$17)</f>
        <v>0.82656510797472216</v>
      </c>
      <c r="H45" s="11">
        <f t="shared" si="0"/>
        <v>950.92894188883849</v>
      </c>
      <c r="I45" s="11">
        <f>Consumption!$C$2-'Analysis (A)'!H45</f>
        <v>7349.0710581111616</v>
      </c>
      <c r="J45" s="8">
        <f>I45*'Grid Power'!K55</f>
        <v>4934.6400480740112</v>
      </c>
      <c r="K45" s="2">
        <v>0</v>
      </c>
      <c r="L45" s="2">
        <f>IF(MOD(F45,5)=0,Configurations!$G$11,0)</f>
        <v>0</v>
      </c>
      <c r="M45" s="2">
        <v>0</v>
      </c>
      <c r="N45" s="2">
        <f t="shared" si="1"/>
        <v>0</v>
      </c>
      <c r="P45" s="8">
        <f t="shared" si="2"/>
        <v>-4934.6400480740112</v>
      </c>
      <c r="Q45" s="8">
        <f>'Analysis (A)'!P45+'Analysis (Nothing)'!D43</f>
        <v>638.54184944094686</v>
      </c>
      <c r="R45" s="2">
        <v>0</v>
      </c>
      <c r="S45" s="8">
        <f>T44*Configurations!$G$6</f>
        <v>192.56941818129624</v>
      </c>
      <c r="T45" s="8">
        <f t="shared" si="4"/>
        <v>449.32864242302458</v>
      </c>
      <c r="U45" s="2">
        <f t="shared" si="5"/>
        <v>445.97243125965065</v>
      </c>
      <c r="V45" s="8">
        <f>U45*Constants!$D$30</f>
        <v>44.597243125965065</v>
      </c>
      <c r="W45" s="8">
        <f t="shared" si="3"/>
        <v>593.9446063149818</v>
      </c>
      <c r="Y45" s="2">
        <f>W45*(1+Constants!$D$27)^-F45</f>
        <v>279.8590888528052</v>
      </c>
    </row>
    <row r="46" spans="6:25" x14ac:dyDescent="0.25">
      <c r="F46">
        <v>39</v>
      </c>
      <c r="G46" s="73">
        <f>G45*(1-Constants!$D$17)</f>
        <v>0.82243228243484856</v>
      </c>
      <c r="H46" s="11">
        <f t="shared" si="0"/>
        <v>946.17429717939433</v>
      </c>
      <c r="I46" s="11">
        <f>Consumption!$C$2-'Analysis (A)'!H46</f>
        <v>7353.8257028206053</v>
      </c>
      <c r="J46" s="8">
        <f>I46*'Grid Power'!K56</f>
        <v>5178.4102164229071</v>
      </c>
      <c r="K46" s="2">
        <v>0</v>
      </c>
      <c r="L46" s="2">
        <f>IF(MOD(F46,5)=0,Configurations!$G$11,0)</f>
        <v>0</v>
      </c>
      <c r="M46" s="2">
        <v>0</v>
      </c>
      <c r="N46" s="2">
        <f t="shared" si="1"/>
        <v>0</v>
      </c>
      <c r="P46" s="8">
        <f t="shared" si="2"/>
        <v>-5178.4102164229071</v>
      </c>
      <c r="Q46" s="8">
        <f>'Analysis (A)'!P46+'Analysis (Nothing)'!D44</f>
        <v>666.30431308153311</v>
      </c>
      <c r="R46" s="2">
        <v>0</v>
      </c>
      <c r="S46" s="8">
        <f>T45*Configurations!$G$6</f>
        <v>134.79859272690737</v>
      </c>
      <c r="T46" s="8">
        <f t="shared" si="4"/>
        <v>314.5300496961172</v>
      </c>
      <c r="U46" s="2">
        <f t="shared" si="5"/>
        <v>531.50572035462574</v>
      </c>
      <c r="V46" s="8">
        <f>U46*Constants!$D$30</f>
        <v>53.150572035462574</v>
      </c>
      <c r="W46" s="8">
        <f t="shared" si="3"/>
        <v>613.15374104607054</v>
      </c>
      <c r="Y46" s="2">
        <f>W46*(1+Constants!$D$27)^-F46</f>
        <v>283.2452814018306</v>
      </c>
    </row>
    <row r="47" spans="6:25" x14ac:dyDescent="0.25">
      <c r="F47">
        <v>40</v>
      </c>
      <c r="G47" s="73">
        <f>G46*(1-Constants!$D$17)</f>
        <v>0.81832012102267426</v>
      </c>
      <c r="H47" s="11">
        <f t="shared" si="0"/>
        <v>941.44342569349726</v>
      </c>
      <c r="I47" s="11">
        <f>Consumption!$C$2-'Analysis (A)'!H47</f>
        <v>7358.5565743065026</v>
      </c>
      <c r="J47" s="8">
        <f>I47*'Grid Power'!K57</f>
        <v>5434.5036092646014</v>
      </c>
      <c r="K47" s="2">
        <v>0</v>
      </c>
      <c r="L47" s="2">
        <v>0</v>
      </c>
      <c r="M47" s="2">
        <v>0</v>
      </c>
      <c r="N47" s="2">
        <f>Configurations!$G$12</f>
        <v>120</v>
      </c>
      <c r="P47" s="8">
        <f t="shared" si="2"/>
        <v>-5314.5036092646014</v>
      </c>
      <c r="Q47" s="8">
        <f>'Analysis (A)'!P47+'Analysis (Nothing)'!D45</f>
        <v>815.31232427554096</v>
      </c>
      <c r="R47" s="2">
        <v>0</v>
      </c>
      <c r="S47" s="8">
        <f>T46*Configurations!$G$6</f>
        <v>94.359014908835164</v>
      </c>
      <c r="T47" s="8">
        <f t="shared" si="4"/>
        <v>220.17103478728205</v>
      </c>
      <c r="U47" s="2">
        <f t="shared" si="5"/>
        <v>720.95330936670575</v>
      </c>
      <c r="V47" s="8">
        <f>U47*Constants!$D$30</f>
        <v>72.095330936670578</v>
      </c>
      <c r="W47" s="8">
        <f t="shared" si="3"/>
        <v>743.21699333887034</v>
      </c>
      <c r="Y47" s="2">
        <f>W47*(1+Constants!$D$27)^-F47</f>
        <v>336.59585268596408</v>
      </c>
    </row>
    <row r="50" spans="6:17" x14ac:dyDescent="0.25">
      <c r="F50" s="109" t="s">
        <v>222</v>
      </c>
      <c r="G50" s="109"/>
      <c r="H50" s="109"/>
      <c r="I50" s="109"/>
      <c r="J50" s="109"/>
      <c r="K50" s="109"/>
      <c r="L50" s="109"/>
      <c r="Q50" s="76"/>
    </row>
    <row r="51" spans="6:17" x14ac:dyDescent="0.25">
      <c r="F51" s="129" t="s">
        <v>224</v>
      </c>
      <c r="G51" s="129"/>
      <c r="H51" s="129"/>
      <c r="I51" s="129"/>
      <c r="J51" s="129"/>
      <c r="K51" s="129" t="s">
        <v>223</v>
      </c>
      <c r="L51" s="129"/>
      <c r="Q51" s="76"/>
    </row>
    <row r="52" spans="6:17" x14ac:dyDescent="0.25">
      <c r="F52" s="128" t="str">
        <f>F4</f>
        <v>Year</v>
      </c>
      <c r="G52" s="130" t="str">
        <f>G5</f>
        <v>Solar efficiency</v>
      </c>
      <c r="H52" s="128" t="s">
        <v>219</v>
      </c>
      <c r="I52" s="91" t="s">
        <v>220</v>
      </c>
      <c r="J52" s="91" t="s">
        <v>221</v>
      </c>
      <c r="K52" s="128" t="s">
        <v>225</v>
      </c>
      <c r="L52" s="91" t="s">
        <v>214</v>
      </c>
    </row>
    <row r="53" spans="6:17" x14ac:dyDescent="0.25">
      <c r="F53" s="129"/>
      <c r="G53" s="131"/>
      <c r="H53" s="129"/>
      <c r="I53" s="92" t="s">
        <v>71</v>
      </c>
      <c r="J53" s="92" t="s">
        <v>68</v>
      </c>
      <c r="K53" s="129"/>
      <c r="L53" s="92" t="s">
        <v>68</v>
      </c>
    </row>
    <row r="54" spans="6:17" x14ac:dyDescent="0.25">
      <c r="F54">
        <f t="shared" ref="F54:G66" si="11">F7</f>
        <v>0</v>
      </c>
      <c r="G54" s="73">
        <f t="shared" si="11"/>
        <v>1</v>
      </c>
      <c r="H54" s="3">
        <f>1-G54</f>
        <v>0</v>
      </c>
      <c r="I54" s="18">
        <f>H54*$C$19</f>
        <v>0</v>
      </c>
      <c r="J54" s="8">
        <f>I54*'Grid Power'!K17</f>
        <v>0</v>
      </c>
      <c r="K54">
        <f>F54</f>
        <v>0</v>
      </c>
      <c r="L54" s="76">
        <v>0</v>
      </c>
      <c r="M54" s="76"/>
    </row>
    <row r="55" spans="6:17" x14ac:dyDescent="0.25">
      <c r="F55">
        <f t="shared" si="11"/>
        <v>1</v>
      </c>
      <c r="G55" s="73">
        <f t="shared" si="11"/>
        <v>0.995</v>
      </c>
      <c r="H55" s="3">
        <f t="shared" ref="H55:H94" si="12">1-G55</f>
        <v>5.0000000000000044E-3</v>
      </c>
      <c r="I55" s="18">
        <f t="shared" ref="I55:I94" si="13">H55*$C$19</f>
        <v>5.7522930300000059</v>
      </c>
      <c r="J55" s="8">
        <f>I55*'Grid Power'!K18</f>
        <v>0.70063299553071201</v>
      </c>
      <c r="K55">
        <f>F55</f>
        <v>1</v>
      </c>
      <c r="L55" s="76">
        <f>PMT(3%,K55,-NPV(3%,$J$54:J55))+(Configurations!$D$6*Configurations!$C$6*(1+Constants!$D$31))/'Analysis (A)'!K55</f>
        <v>1000.2802262092531</v>
      </c>
      <c r="M55" s="76"/>
    </row>
    <row r="56" spans="6:17" x14ac:dyDescent="0.25">
      <c r="F56">
        <f t="shared" si="11"/>
        <v>2</v>
      </c>
      <c r="G56" s="73">
        <f t="shared" si="11"/>
        <v>0.99002500000000004</v>
      </c>
      <c r="H56" s="3">
        <f t="shared" si="12"/>
        <v>9.9749999999999561E-3</v>
      </c>
      <c r="I56" s="18">
        <f t="shared" si="13"/>
        <v>11.475824594849952</v>
      </c>
      <c r="J56" s="8">
        <f>I56*'Grid Power'!K19</f>
        <v>1.461199769681486</v>
      </c>
      <c r="K56">
        <f t="shared" ref="K56:K94" si="14">F56</f>
        <v>2</v>
      </c>
      <c r="L56" s="76">
        <f>PMT(3%,K56,-NPV(3%,$J$54:J56))+(Configurations!$D$6*Configurations!$C$6*(1+Constants!$D$31))/'Analysis (A)'!K56</f>
        <v>500.84397711754656</v>
      </c>
      <c r="M56" s="76"/>
    </row>
    <row r="57" spans="6:17" x14ac:dyDescent="0.25">
      <c r="F57">
        <f t="shared" si="11"/>
        <v>3</v>
      </c>
      <c r="G57" s="73">
        <f t="shared" si="11"/>
        <v>0.98507487500000002</v>
      </c>
      <c r="H57" s="3">
        <f t="shared" si="12"/>
        <v>1.4925124999999984E-2</v>
      </c>
      <c r="I57" s="18">
        <f t="shared" si="13"/>
        <v>17.170738501875732</v>
      </c>
      <c r="J57" s="8">
        <f>I57*'Grid Power'!K20</f>
        <v>2.2858248939808949</v>
      </c>
      <c r="K57">
        <f t="shared" si="14"/>
        <v>3</v>
      </c>
      <c r="L57" s="76">
        <f>PMT(3%,K57,-NPV(3%,$J$54:J57))+(Configurations!$D$6*Configurations!$C$6*(1+Constants!$D$31))/'Analysis (A)'!K57</f>
        <v>334.62421276164304</v>
      </c>
      <c r="M57" s="76"/>
    </row>
    <row r="58" spans="6:17" x14ac:dyDescent="0.25">
      <c r="F58">
        <f t="shared" si="11"/>
        <v>4</v>
      </c>
      <c r="G58" s="73">
        <f t="shared" si="11"/>
        <v>0.98014950062500006</v>
      </c>
      <c r="H58" s="3">
        <f t="shared" si="12"/>
        <v>1.9850499374999941E-2</v>
      </c>
      <c r="I58" s="18">
        <f t="shared" si="13"/>
        <v>22.837177839366309</v>
      </c>
      <c r="J58" s="8">
        <f>I58*'Grid Power'!K21</f>
        <v>3.1788935404515177</v>
      </c>
      <c r="K58">
        <f t="shared" si="14"/>
        <v>4</v>
      </c>
      <c r="L58" s="76">
        <f>PMT(3%,K58,-NPV(3%,$J$54:J58))+(Configurations!$D$6*Configurations!$C$6*(1+Constants!$D$31))/'Analysis (A)'!K58</f>
        <v>251.72149761676096</v>
      </c>
      <c r="M58" s="76"/>
    </row>
    <row r="59" spans="6:17" x14ac:dyDescent="0.25">
      <c r="F59">
        <f t="shared" si="11"/>
        <v>5</v>
      </c>
      <c r="G59" s="73">
        <f t="shared" si="11"/>
        <v>0.97524875312187509</v>
      </c>
      <c r="H59" s="3">
        <f t="shared" si="12"/>
        <v>2.4751246878124911E-2</v>
      </c>
      <c r="I59" s="18">
        <f t="shared" si="13"/>
        <v>28.475284980169441</v>
      </c>
      <c r="J59" s="8">
        <f>I59*'Grid Power'!K22</f>
        <v>4.1450671395606129</v>
      </c>
      <c r="K59">
        <f t="shared" si="14"/>
        <v>5</v>
      </c>
      <c r="L59" s="76">
        <f>PMT(3%,K59,-NPV(3%,$J$54:J59))+(Configurations!$D$6*Configurations!$C$6*(1+Constants!$D$31))/'Analysis (A)'!K59</f>
        <v>202.15641249006097</v>
      </c>
      <c r="M59" s="76"/>
    </row>
    <row r="60" spans="6:17" x14ac:dyDescent="0.25">
      <c r="F60">
        <f t="shared" si="11"/>
        <v>6</v>
      </c>
      <c r="G60" s="73">
        <f t="shared" si="11"/>
        <v>0.97037250935626573</v>
      </c>
      <c r="H60" s="3">
        <f t="shared" si="12"/>
        <v>2.9627490643734267E-2</v>
      </c>
      <c r="I60" s="18">
        <f t="shared" si="13"/>
        <v>34.085201585268571</v>
      </c>
      <c r="J60" s="8">
        <f>I60*'Grid Power'!K23</f>
        <v>5.1892999471755745</v>
      </c>
      <c r="K60">
        <f t="shared" si="14"/>
        <v>6</v>
      </c>
      <c r="L60" s="76">
        <f>PMT(3%,K60,-NPV(3%,$J$54:J60))+(Configurations!$D$6*Configurations!$C$6*(1+Constants!$D$31))/'Analysis (A)'!K60</f>
        <v>169.26955492360699</v>
      </c>
      <c r="M60" s="76"/>
    </row>
    <row r="61" spans="6:17" x14ac:dyDescent="0.25">
      <c r="F61">
        <f t="shared" si="11"/>
        <v>7</v>
      </c>
      <c r="G61" s="73">
        <f t="shared" si="11"/>
        <v>0.96552064680948435</v>
      </c>
      <c r="H61" s="3">
        <f t="shared" si="12"/>
        <v>3.4479353190515649E-2</v>
      </c>
      <c r="I61" s="18">
        <f t="shared" si="13"/>
        <v>39.667068607342294</v>
      </c>
      <c r="J61" s="8">
        <f>I61*'Grid Power'!K24</f>
        <v>6.3168565719943981</v>
      </c>
      <c r="K61">
        <f t="shared" si="14"/>
        <v>7</v>
      </c>
      <c r="L61" s="76">
        <f>PMT(3%,K61,-NPV(3%,$J$54:J61))+(Configurations!$D$6*Configurations!$C$6*(1+Constants!$D$31))/'Analysis (A)'!K61</f>
        <v>145.92153960593339</v>
      </c>
      <c r="M61" s="76"/>
    </row>
    <row r="62" spans="6:17" x14ac:dyDescent="0.25">
      <c r="F62">
        <f t="shared" si="11"/>
        <v>8</v>
      </c>
      <c r="G62" s="73">
        <f t="shared" si="11"/>
        <v>0.96069304357543694</v>
      </c>
      <c r="H62" s="3">
        <f t="shared" si="12"/>
        <v>3.9306956424563055E-2</v>
      </c>
      <c r="I62" s="18">
        <f t="shared" si="13"/>
        <v>45.22102629430556</v>
      </c>
      <c r="J62" s="8">
        <f>I62*'Grid Power'!K25</f>
        <v>7.5333305177812937</v>
      </c>
      <c r="K62">
        <f t="shared" si="14"/>
        <v>8</v>
      </c>
      <c r="L62" s="76">
        <f>PMT(3%,K62,-NPV(3%,$J$54:J62))+(Configurations!$D$6*Configurations!$C$6*(1+Constants!$D$31))/'Analysis (A)'!K62</f>
        <v>128.54299879239682</v>
      </c>
      <c r="M62" s="76"/>
    </row>
    <row r="63" spans="6:17" x14ac:dyDescent="0.25">
      <c r="F63">
        <f t="shared" si="11"/>
        <v>9</v>
      </c>
      <c r="G63" s="73">
        <f t="shared" si="11"/>
        <v>0.95588957835755972</v>
      </c>
      <c r="H63" s="3">
        <f t="shared" si="12"/>
        <v>4.4110421642440278E-2</v>
      </c>
      <c r="I63" s="18">
        <f t="shared" si="13"/>
        <v>50.747214192834079</v>
      </c>
      <c r="J63" s="8">
        <f>I63*'Grid Power'!K26</f>
        <v>8.8446637977549081</v>
      </c>
      <c r="K63">
        <f t="shared" si="14"/>
        <v>9</v>
      </c>
      <c r="L63" s="76">
        <f>PMT(3%,K63,-NPV(3%,$J$54:J63))+(Configurations!$D$6*Configurations!$C$6*(1+Constants!$D$31))/'Analysis (A)'!K63</f>
        <v>115.15124940116297</v>
      </c>
      <c r="M63" s="76"/>
    </row>
    <row r="64" spans="6:17" x14ac:dyDescent="0.25">
      <c r="F64">
        <f t="shared" si="11"/>
        <v>10</v>
      </c>
      <c r="G64" s="73">
        <f t="shared" si="11"/>
        <v>0.95111013046577186</v>
      </c>
      <c r="H64" s="3">
        <f t="shared" si="12"/>
        <v>4.8889869534228136E-2</v>
      </c>
      <c r="I64" s="18">
        <f t="shared" si="13"/>
        <v>56.245771151869981</v>
      </c>
      <c r="J64" s="8">
        <f>I64*'Grid Power'!K27</f>
        <v>10.257167681658002</v>
      </c>
      <c r="K64">
        <f t="shared" si="14"/>
        <v>10</v>
      </c>
      <c r="L64" s="76">
        <f>PMT(3%,K64,-NPV(3%,$J$54:J64))+(Configurations!$D$6*Configurations!$C$6*(1+Constants!$D$31))/'Analysis (A)'!K64</f>
        <v>104.556960118349</v>
      </c>
      <c r="M64" s="76"/>
    </row>
    <row r="65" spans="6:21" x14ac:dyDescent="0.25">
      <c r="F65">
        <f t="shared" si="11"/>
        <v>11</v>
      </c>
      <c r="G65" s="73">
        <f t="shared" si="11"/>
        <v>0.94635457981344295</v>
      </c>
      <c r="H65" s="3">
        <f t="shared" si="12"/>
        <v>5.3645420186557047E-2</v>
      </c>
      <c r="I65" s="18">
        <f t="shared" si="13"/>
        <v>61.71683532611069</v>
      </c>
      <c r="J65" s="8">
        <f>I65*'Grid Power'!K28</f>
        <v>11.777544639394382</v>
      </c>
      <c r="K65">
        <f t="shared" si="14"/>
        <v>11</v>
      </c>
      <c r="L65" s="76">
        <f>PMT(3%,K65,-NPV(3%,$J$54:J65))+(Configurations!$D$6*Configurations!$C$6*(1+Constants!$D$31))/'Analysis (A)'!K65</f>
        <v>96.003545785240846</v>
      </c>
      <c r="M65" s="76"/>
      <c r="T65" t="s">
        <v>232</v>
      </c>
    </row>
    <row r="66" spans="6:21" x14ac:dyDescent="0.25">
      <c r="F66">
        <f t="shared" si="11"/>
        <v>12</v>
      </c>
      <c r="G66" s="73">
        <f t="shared" si="11"/>
        <v>0.94162280691437572</v>
      </c>
      <c r="H66" s="3">
        <f t="shared" si="12"/>
        <v>5.8377193085624279E-2</v>
      </c>
      <c r="I66" s="18">
        <f t="shared" si="13"/>
        <v>67.160544179480155</v>
      </c>
      <c r="J66" s="8">
        <f>I66*'Grid Power'!K29</f>
        <v>13.412911548657906</v>
      </c>
      <c r="K66">
        <f t="shared" si="14"/>
        <v>12</v>
      </c>
      <c r="L66" s="76">
        <f>PMT(3%,K66,-NPV(3%,$J$54:J66))+(Configurations!$D$6*Configurations!$C$6*(1+Constants!$D$31))/'Analysis (A)'!K66</f>
        <v>88.986864825358793</v>
      </c>
      <c r="M66" s="76"/>
      <c r="P66" t="s">
        <v>232</v>
      </c>
    </row>
    <row r="67" spans="6:21" x14ac:dyDescent="0.25">
      <c r="F67">
        <f t="shared" ref="F67" si="15">F20</f>
        <v>13</v>
      </c>
      <c r="G67" s="73">
        <f t="shared" ref="G67:G94" si="16">G20</f>
        <v>0.93691469287980389</v>
      </c>
      <c r="H67" s="3">
        <f t="shared" si="12"/>
        <v>6.308530712019611E-2</v>
      </c>
      <c r="I67" s="18">
        <f t="shared" si="13"/>
        <v>72.577034488582697</v>
      </c>
      <c r="J67" s="8">
        <f>I67*'Grid Power'!K30</f>
        <v>15.170824237711805</v>
      </c>
      <c r="K67">
        <f t="shared" si="14"/>
        <v>13</v>
      </c>
      <c r="L67" s="76">
        <f>PMT(3%,K67,-NPV(3%,$J$54:J67))+(Configurations!$D$6*Configurations!$C$6*(1+Constants!$D$31))/'Analysis (A)'!K67</f>
        <v>83.158133464486596</v>
      </c>
      <c r="M67" s="76"/>
      <c r="T67" s="1" t="s">
        <v>65</v>
      </c>
      <c r="U67" s="1" t="s">
        <v>231</v>
      </c>
    </row>
    <row r="68" spans="6:21" x14ac:dyDescent="0.25">
      <c r="F68">
        <f t="shared" ref="F68" si="17">F21</f>
        <v>14</v>
      </c>
      <c r="G68" s="73">
        <f t="shared" si="16"/>
        <v>0.9322301194154049</v>
      </c>
      <c r="H68" s="3">
        <f t="shared" si="12"/>
        <v>6.7769880584595099E-2</v>
      </c>
      <c r="I68" s="18">
        <f t="shared" si="13"/>
        <v>77.966442346139758</v>
      </c>
      <c r="J68" s="8">
        <f>I68*'Grid Power'!K31</f>
        <v>17.059303438413558</v>
      </c>
      <c r="K68">
        <f t="shared" si="14"/>
        <v>14</v>
      </c>
      <c r="L68" s="76">
        <f>PMT(3%,K68,-NPV(3%,$J$54:J68))+(Configurations!$D$6*Configurations!$C$6*(1+Constants!$D$31))/'Analysis (A)'!K68</f>
        <v>78.268448352262595</v>
      </c>
      <c r="M68" s="76"/>
      <c r="P68" t="s">
        <v>228</v>
      </c>
      <c r="Q68" s="2">
        <v>50</v>
      </c>
      <c r="T68">
        <v>1</v>
      </c>
      <c r="U68" s="107">
        <v>-0.05</v>
      </c>
    </row>
    <row r="69" spans="6:21" x14ac:dyDescent="0.25">
      <c r="F69">
        <f t="shared" ref="F69" si="18">F22</f>
        <v>15</v>
      </c>
      <c r="G69" s="73">
        <f t="shared" si="16"/>
        <v>0.92756896881832784</v>
      </c>
      <c r="H69" s="3">
        <f t="shared" si="12"/>
        <v>7.2431031181672156E-2</v>
      </c>
      <c r="I69" s="18">
        <f t="shared" si="13"/>
        <v>83.328903164409098</v>
      </c>
      <c r="J69" s="8">
        <f>I69*'Grid Power'!K32</f>
        <v>19.086862228732258</v>
      </c>
      <c r="K69">
        <f t="shared" si="14"/>
        <v>15</v>
      </c>
      <c r="L69" s="76">
        <f>PMT(3%,K69,-NPV(3%,$J$54:J69))+(Configurations!$D$6*Configurations!$C$6*(1+Constants!$D$31))/'Analysis (A)'!K69</f>
        <v>74.13550033612789</v>
      </c>
      <c r="M69" s="76"/>
      <c r="T69">
        <v>2</v>
      </c>
      <c r="U69" s="107">
        <v>0</v>
      </c>
    </row>
    <row r="70" spans="6:21" x14ac:dyDescent="0.25">
      <c r="F70">
        <f t="shared" ref="F70" si="19">F23</f>
        <v>16</v>
      </c>
      <c r="G70" s="73">
        <f t="shared" si="16"/>
        <v>0.92293112397423616</v>
      </c>
      <c r="H70" s="3">
        <f t="shared" si="12"/>
        <v>7.7068876025763844E-2</v>
      </c>
      <c r="I70" s="18">
        <f t="shared" si="13"/>
        <v>88.664551678587102</v>
      </c>
      <c r="J70" s="8">
        <f>I70*'Grid Power'!K33</f>
        <v>21.262535048384066</v>
      </c>
      <c r="K70">
        <f t="shared" si="14"/>
        <v>16</v>
      </c>
      <c r="L70" s="76">
        <f>PMT(3%,K70,-NPV(3%,$J$54:J70))+(Configurations!$D$6*Configurations!$C$6*(1+Constants!$D$31))/'Analysis (A)'!K70</f>
        <v>70.62277076313967</v>
      </c>
      <c r="M70" s="76"/>
      <c r="P70" t="s">
        <v>65</v>
      </c>
      <c r="Q70" t="s">
        <v>229</v>
      </c>
      <c r="R70" t="s">
        <v>227</v>
      </c>
      <c r="T70">
        <v>3</v>
      </c>
      <c r="U70" s="107">
        <v>0</v>
      </c>
    </row>
    <row r="71" spans="6:21" x14ac:dyDescent="0.25">
      <c r="F71">
        <f t="shared" ref="F71" si="20">F24</f>
        <v>17</v>
      </c>
      <c r="G71" s="73">
        <f t="shared" si="16"/>
        <v>0.91831646835436498</v>
      </c>
      <c r="H71" s="3">
        <f t="shared" si="12"/>
        <v>8.1683531645635021E-2</v>
      </c>
      <c r="I71" s="18">
        <f t="shared" si="13"/>
        <v>93.973521950194169</v>
      </c>
      <c r="J71" s="8">
        <f>I71*'Grid Power'!K34</f>
        <v>23.595908375828589</v>
      </c>
      <c r="K71">
        <f t="shared" si="14"/>
        <v>17</v>
      </c>
      <c r="L71" s="76">
        <f>PMT(3%,K71,-NPV(3%,$J$54:J71))+(Configurations!$D$6*Configurations!$C$6*(1+Constants!$D$31))/'Analysis (A)'!K71</f>
        <v>67.626070449732737</v>
      </c>
      <c r="M71" s="76"/>
      <c r="P71">
        <v>1</v>
      </c>
      <c r="Q71" s="2">
        <v>2</v>
      </c>
      <c r="R71" s="2">
        <f>PMT(3%, Q71,-NPV(3%,$Q$71:Q71))+$Q$68/Q71</f>
        <v>26.014778325123153</v>
      </c>
      <c r="T71">
        <v>4</v>
      </c>
      <c r="U71" s="107">
        <v>0</v>
      </c>
    </row>
    <row r="72" spans="6:21" x14ac:dyDescent="0.25">
      <c r="F72">
        <f t="shared" ref="F72" si="21">F25</f>
        <v>18</v>
      </c>
      <c r="G72" s="73">
        <f t="shared" si="16"/>
        <v>0.91372488601259316</v>
      </c>
      <c r="H72" s="3">
        <f t="shared" si="12"/>
        <v>8.6275113987406837E-2</v>
      </c>
      <c r="I72" s="18">
        <f t="shared" si="13"/>
        <v>99.255947370443181</v>
      </c>
      <c r="J72" s="8">
        <f>I72*'Grid Power'!K35</f>
        <v>26.097153159737527</v>
      </c>
      <c r="K72">
        <f t="shared" si="14"/>
        <v>18</v>
      </c>
      <c r="L72" s="76">
        <f>PMT(3%,K72,-NPV(3%,$J$54:J72))+(Configurations!$D$6*Configurations!$C$6*(1+Constants!$D$31))/'Analysis (A)'!K72</f>
        <v>65.064565841801482</v>
      </c>
      <c r="M72" s="76"/>
      <c r="P72">
        <v>2</v>
      </c>
      <c r="Q72" s="2">
        <v>4</v>
      </c>
      <c r="R72" s="2">
        <f>PMT(3%, Q72,-NPV(3%,$Q$71:Q72))+$Q$68/Q72</f>
        <v>14.036717781006768</v>
      </c>
      <c r="T72">
        <v>5</v>
      </c>
      <c r="U72" s="106">
        <v>0.05</v>
      </c>
    </row>
    <row r="73" spans="6:21" x14ac:dyDescent="0.25">
      <c r="F73">
        <f t="shared" ref="F73" si="22">F26</f>
        <v>19</v>
      </c>
      <c r="G73" s="73">
        <f t="shared" si="16"/>
        <v>0.90915626158253016</v>
      </c>
      <c r="H73" s="3">
        <f t="shared" si="12"/>
        <v>9.0843738417469844E-2</v>
      </c>
      <c r="I73" s="18">
        <f t="shared" si="13"/>
        <v>104.51196066359101</v>
      </c>
      <c r="J73" s="8">
        <f>I73*'Grid Power'!K36</f>
        <v>28.77705910318123</v>
      </c>
      <c r="K73">
        <f t="shared" si="14"/>
        <v>19</v>
      </c>
      <c r="L73" s="76">
        <f>PMT(3%,K73,-NPV(3%,$J$54:J73))+(Configurations!$D$6*Configurations!$C$6*(1+Constants!$D$31))/'Analysis (A)'!K73</f>
        <v>62.874639193945939</v>
      </c>
      <c r="M73" s="76"/>
      <c r="P73">
        <v>3</v>
      </c>
      <c r="Q73" s="2">
        <v>6</v>
      </c>
      <c r="R73" s="2">
        <f>PMT(3%, Q73,-NPV(3%,$Q$71:Q73))+$Q$68/Q73</f>
        <v>10.401375654069417</v>
      </c>
    </row>
    <row r="74" spans="6:21" x14ac:dyDescent="0.25">
      <c r="F74">
        <f t="shared" ref="F74" si="23">F27</f>
        <v>20</v>
      </c>
      <c r="G74" s="73">
        <f t="shared" si="16"/>
        <v>0.90461048027461755</v>
      </c>
      <c r="H74" s="3">
        <f t="shared" si="12"/>
        <v>9.5389519725382454E-2</v>
      </c>
      <c r="I74" s="18">
        <f t="shared" si="13"/>
        <v>109.74169389027301</v>
      </c>
      <c r="J74" s="8">
        <f>I74*'Grid Power'!K37</f>
        <v>31.647070904192262</v>
      </c>
      <c r="K74">
        <f t="shared" si="14"/>
        <v>20</v>
      </c>
      <c r="L74" s="76">
        <f>PMT(3%,K74,-NPV(3%,$J$54:J74))+(Configurations!$D$6*Configurations!$C$6*(1+Constants!$D$31))/'Analysis (A)'!K74</f>
        <v>61.005590865286969</v>
      </c>
      <c r="M74" s="76"/>
      <c r="P74">
        <v>4</v>
      </c>
      <c r="Q74" s="2">
        <v>8</v>
      </c>
      <c r="R74" s="2">
        <f>PMT(3%, Q74,-NPV(3%,$Q$71:Q74))+$Q$68/Q74</f>
        <v>8.8585014918591067</v>
      </c>
      <c r="T74" t="s">
        <v>212</v>
      </c>
      <c r="U74" t="s">
        <v>230</v>
      </c>
    </row>
    <row r="75" spans="6:21" x14ac:dyDescent="0.25">
      <c r="F75">
        <f t="shared" ref="F75" si="24">F28</f>
        <v>21</v>
      </c>
      <c r="G75" s="73">
        <f t="shared" si="16"/>
        <v>0.90008742787324447</v>
      </c>
      <c r="H75" s="3">
        <f t="shared" si="12"/>
        <v>9.9912572126755528E-2</v>
      </c>
      <c r="I75" s="18">
        <f t="shared" si="13"/>
        <v>114.94527845082163</v>
      </c>
      <c r="J75" s="8">
        <f>I75*'Grid Power'!K38</f>
        <v>34.719326562073348</v>
      </c>
      <c r="K75">
        <f t="shared" si="14"/>
        <v>21</v>
      </c>
      <c r="L75" s="76">
        <f>PMT(3%,K75,-NPV(3%,$J$54:J75))+(Configurations!$D$6*Configurations!$C$6*(1+Constants!$D$31))/'Analysis (A)'!K75</f>
        <v>59.416569697008114</v>
      </c>
      <c r="M75" s="76"/>
      <c r="P75">
        <v>5</v>
      </c>
      <c r="Q75" s="2">
        <v>10</v>
      </c>
      <c r="R75" s="2">
        <f>PMT(3%, Q75,-NPV(3%,$Q$71:Q75))+$Q$68/Q75</f>
        <v>8.1578340993844467</v>
      </c>
      <c r="T75" s="53">
        <f>NPV(5%,U68:U72)</f>
        <v>-8.4427392956246718E-3</v>
      </c>
      <c r="U75" s="105">
        <f>IRR(U68:U72)</f>
        <v>0</v>
      </c>
    </row>
    <row r="76" spans="6:21" x14ac:dyDescent="0.25">
      <c r="F76">
        <f t="shared" ref="F76" si="25">F29</f>
        <v>22</v>
      </c>
      <c r="G76" s="73">
        <f t="shared" si="16"/>
        <v>0.89558699073387826</v>
      </c>
      <c r="H76" s="3">
        <f t="shared" si="12"/>
        <v>0.10441300926612174</v>
      </c>
      <c r="I76" s="18">
        <f t="shared" si="13"/>
        <v>120.12284508856752</v>
      </c>
      <c r="J76" s="8">
        <f>I76*'Grid Power'!K39</f>
        <v>38.006697864835154</v>
      </c>
      <c r="K76">
        <f t="shared" si="14"/>
        <v>22</v>
      </c>
      <c r="L76" s="76">
        <f>PMT(3%,K76,-NPV(3%,$J$54:J76))+(Configurations!$D$6*Configurations!$C$6*(1+Constants!$D$31))/'Analysis (A)'!K76</f>
        <v>58.074340722273597</v>
      </c>
      <c r="M76" s="76"/>
      <c r="P76">
        <v>6</v>
      </c>
      <c r="Q76" s="2">
        <v>12</v>
      </c>
      <c r="R76" s="2">
        <f>PMT(3%, Q76,-NPV(3%,$Q$71:Q76))+$Q$68/Q76</f>
        <v>7.8824353660505482</v>
      </c>
    </row>
    <row r="77" spans="6:21" x14ac:dyDescent="0.25">
      <c r="F77">
        <f t="shared" ref="F77" si="26">F30</f>
        <v>23</v>
      </c>
      <c r="G77" s="73">
        <f t="shared" si="16"/>
        <v>0.89110905578020883</v>
      </c>
      <c r="H77" s="3">
        <f t="shared" si="12"/>
        <v>0.10889094421979117</v>
      </c>
      <c r="I77" s="18">
        <f t="shared" si="13"/>
        <v>125.27452389312472</v>
      </c>
      <c r="J77" s="8">
        <f>I77*'Grid Power'!K40</f>
        <v>41.522833179495777</v>
      </c>
      <c r="K77">
        <f t="shared" si="14"/>
        <v>23</v>
      </c>
      <c r="L77" s="76">
        <f>PMT(3%,K77,-NPV(3%,$J$54:J77))+(Configurations!$D$6*Configurations!$C$6*(1+Constants!$D$31))/'Analysis (A)'!K77</f>
        <v>56.951635372083025</v>
      </c>
      <c r="M77" s="76"/>
      <c r="P77">
        <v>7</v>
      </c>
      <c r="Q77" s="2">
        <v>14</v>
      </c>
      <c r="R77" s="2">
        <f>PMT(3%, Q77,-NPV(3%,$Q$71:Q77))+$Q$68/Q77</f>
        <v>7.8534526903256126</v>
      </c>
    </row>
    <row r="78" spans="6:21" x14ac:dyDescent="0.25">
      <c r="F78">
        <f t="shared" ref="F78" si="27">F31</f>
        <v>24</v>
      </c>
      <c r="G78" s="73">
        <f t="shared" si="16"/>
        <v>0.88665351050130781</v>
      </c>
      <c r="H78" s="3">
        <f t="shared" si="12"/>
        <v>0.11334648949869219</v>
      </c>
      <c r="I78" s="18">
        <f t="shared" si="13"/>
        <v>130.40044430365907</v>
      </c>
      <c r="J78" s="8">
        <f>I78*'Grid Power'!K41</f>
        <v>45.282202673663662</v>
      </c>
      <c r="K78">
        <f t="shared" si="14"/>
        <v>24</v>
      </c>
      <c r="L78" s="76">
        <f>PMT(3%,K78,-NPV(3%,$J$54:J78))+(Configurations!$D$6*Configurations!$C$6*(1+Constants!$D$31))/'Analysis (A)'!K78</f>
        <v>56.025914286195174</v>
      </c>
      <c r="M78" s="76"/>
      <c r="P78">
        <v>8</v>
      </c>
      <c r="Q78" s="2">
        <v>16</v>
      </c>
      <c r="R78" s="2">
        <f>PMT(3%, Q78,-NPV(3%,$Q$71:Q78))+$Q$68/Q78</f>
        <v>7.9813100000640747</v>
      </c>
    </row>
    <row r="79" spans="6:21" x14ac:dyDescent="0.25">
      <c r="F79">
        <f t="shared" ref="F79" si="28">F32</f>
        <v>25</v>
      </c>
      <c r="G79" s="73">
        <f t="shared" si="16"/>
        <v>0.8822202429488013</v>
      </c>
      <c r="H79" s="3">
        <f t="shared" si="12"/>
        <v>0.1177797570511987</v>
      </c>
      <c r="I79" s="18">
        <f t="shared" si="13"/>
        <v>135.50073511214075</v>
      </c>
      <c r="J79" s="8">
        <f>I79*'Grid Power'!K42</f>
        <v>49.300146103879996</v>
      </c>
      <c r="K79">
        <f t="shared" si="14"/>
        <v>25</v>
      </c>
      <c r="L79" s="76">
        <f>PMT(3%,K79,-NPV(3%,$J$54:J79))+(Configurations!$D$6*Configurations!$C$6*(1+Constants!$D$31))/'Analysis (A)'!K79</f>
        <v>55.278427203421124</v>
      </c>
      <c r="M79" s="76"/>
      <c r="P79">
        <v>9</v>
      </c>
      <c r="Q79" s="2">
        <v>18</v>
      </c>
      <c r="R79" s="2">
        <f>PMT(3%, Q79,-NPV(3%,$Q$71:Q79))+$Q$68/Q79</f>
        <v>8.2161051440834747</v>
      </c>
    </row>
    <row r="80" spans="6:21" x14ac:dyDescent="0.25">
      <c r="F80" s="86">
        <f t="shared" ref="F80" si="29">F33</f>
        <v>26</v>
      </c>
      <c r="G80" s="100">
        <f t="shared" si="16"/>
        <v>0.87780914173405733</v>
      </c>
      <c r="H80" s="101">
        <f t="shared" si="12"/>
        <v>0.12219085826594267</v>
      </c>
      <c r="I80" s="102">
        <f t="shared" si="13"/>
        <v>140.57552446657999</v>
      </c>
      <c r="J80" s="103">
        <f>I80*'Grid Power'!K43</f>
        <v>53.592923313632795</v>
      </c>
      <c r="K80">
        <f t="shared" si="14"/>
        <v>26</v>
      </c>
      <c r="L80" s="76">
        <f>PMT(3%,K80,-NPV(3%,$J$54:J80))+(Configurations!$D$6*Configurations!$C$6*(1+Constants!$D$31))/'Analysis (A)'!K80</f>
        <v>54.693489952045674</v>
      </c>
      <c r="M80" s="76"/>
      <c r="P80">
        <v>10</v>
      </c>
      <c r="Q80" s="2">
        <v>20</v>
      </c>
      <c r="R80" s="2">
        <f>PMT(3%, Q80,-NPV(3%,$Q$71:Q80))+$Q$68/Q80</f>
        <v>8.5277692082784338</v>
      </c>
    </row>
    <row r="81" spans="6:13" x14ac:dyDescent="0.25">
      <c r="F81">
        <f t="shared" ref="F81" si="30">F34</f>
        <v>27</v>
      </c>
      <c r="G81" s="73">
        <f t="shared" si="16"/>
        <v>0.87342009602538706</v>
      </c>
      <c r="H81" s="3">
        <f t="shared" si="12"/>
        <v>0.12657990397461294</v>
      </c>
      <c r="I81" s="18">
        <f t="shared" si="13"/>
        <v>145.62493987424708</v>
      </c>
      <c r="J81" s="8">
        <f>I81*'Grid Power'!K44</f>
        <v>58.177767591795565</v>
      </c>
      <c r="K81">
        <f t="shared" si="14"/>
        <v>27</v>
      </c>
      <c r="L81" s="76">
        <f>PMT(3%,K81,-NPV(3%,$J$54:J81))+(Configurations!$D$6*Configurations!$C$6*(1+Constants!$D$31))/'Analysis (A)'!K81</f>
        <v>54.257922258777327</v>
      </c>
      <c r="M81" s="76"/>
    </row>
    <row r="82" spans="6:13" x14ac:dyDescent="0.25">
      <c r="F82">
        <f t="shared" ref="F82" si="31">F35</f>
        <v>28</v>
      </c>
      <c r="G82" s="73">
        <f t="shared" si="16"/>
        <v>0.86905299554526017</v>
      </c>
      <c r="H82" s="3">
        <f t="shared" si="12"/>
        <v>0.13094700445473983</v>
      </c>
      <c r="I82" s="18">
        <f t="shared" si="13"/>
        <v>150.6491082048758</v>
      </c>
      <c r="J82" s="8">
        <f>I82*'Grid Power'!K45</f>
        <v>63.07294205050831</v>
      </c>
      <c r="K82">
        <f t="shared" si="14"/>
        <v>28</v>
      </c>
      <c r="L82" s="76">
        <f>PMT(3%,K82,-NPV(3%,$J$54:J82))+(Configurations!$D$6*Configurations!$C$6*(1+Constants!$D$31))/'Analysis (A)'!K82</f>
        <v>53.960606175171442</v>
      </c>
      <c r="M82" s="76"/>
    </row>
    <row r="83" spans="6:13" x14ac:dyDescent="0.25">
      <c r="F83">
        <f t="shared" ref="F83" si="32">F36</f>
        <v>29</v>
      </c>
      <c r="G83" s="73">
        <f t="shared" si="16"/>
        <v>0.86470773056753381</v>
      </c>
      <c r="H83" s="3">
        <f t="shared" si="12"/>
        <v>0.13529226943246619</v>
      </c>
      <c r="I83" s="18">
        <f t="shared" si="13"/>
        <v>155.64815569385149</v>
      </c>
      <c r="J83" s="8">
        <f>I83*'Grid Power'!K46</f>
        <v>68.297799190232027</v>
      </c>
      <c r="K83">
        <f t="shared" si="14"/>
        <v>29</v>
      </c>
      <c r="L83" s="76">
        <f>PMT(3%,K83,-NPV(3%,$J$54:J83))+(Configurations!$D$6*Configurations!$C$6*(1+Constants!$D$31))/'Analysis (A)'!K83</f>
        <v>53.792136010504088</v>
      </c>
      <c r="M83" s="76"/>
    </row>
    <row r="84" spans="6:13" x14ac:dyDescent="0.25">
      <c r="F84">
        <f t="shared" ref="F84" si="33">F37</f>
        <v>30</v>
      </c>
      <c r="G84" s="73">
        <f t="shared" si="16"/>
        <v>0.86038419191469617</v>
      </c>
      <c r="H84" s="3">
        <f t="shared" si="12"/>
        <v>0.13961580808530383</v>
      </c>
      <c r="I84" s="18">
        <f t="shared" si="13"/>
        <v>160.6222079453822</v>
      </c>
      <c r="J84" s="8">
        <f>I84*'Grid Power'!K47</f>
        <v>73.872843828892996</v>
      </c>
      <c r="K84" s="86">
        <f t="shared" si="14"/>
        <v>30</v>
      </c>
      <c r="L84" s="104">
        <f>PMT(3%,K84,-NPV(3%,$J$54:J84))+(Configurations!$D$6*Configurations!$C$6*(1+Constants!$D$31))/'Analysis (A)'!K84</f>
        <v>53.744538423099655</v>
      </c>
      <c r="M84" s="76" t="s">
        <v>226</v>
      </c>
    </row>
    <row r="85" spans="6:13" x14ac:dyDescent="0.25">
      <c r="F85">
        <f t="shared" ref="F85" si="34">F38</f>
        <v>31</v>
      </c>
      <c r="G85" s="73">
        <f t="shared" si="16"/>
        <v>0.85608227095512268</v>
      </c>
      <c r="H85" s="3">
        <f t="shared" si="12"/>
        <v>0.14391772904487732</v>
      </c>
      <c r="I85" s="18">
        <f t="shared" si="13"/>
        <v>165.5713899356553</v>
      </c>
      <c r="J85" s="8">
        <f>I85*'Grid Power'!K48</f>
        <v>79.819799581716396</v>
      </c>
      <c r="K85">
        <f t="shared" si="14"/>
        <v>31</v>
      </c>
      <c r="L85" s="76">
        <f>PMT(3%,K85,-NPV(3%,$J$54:J85))+(Configurations!$D$6*Configurations!$C$6*(1+Constants!$D$31))/'Analysis (A)'!K85</f>
        <v>53.811046831360756</v>
      </c>
      <c r="M85" s="76"/>
    </row>
    <row r="86" spans="6:13" x14ac:dyDescent="0.25">
      <c r="F86">
        <f t="shared" ref="F86" si="35">F39</f>
        <v>32</v>
      </c>
      <c r="G86" s="73">
        <f t="shared" si="16"/>
        <v>0.85180185960034704</v>
      </c>
      <c r="H86" s="3">
        <f t="shared" si="12"/>
        <v>0.14819814039965296</v>
      </c>
      <c r="I86" s="18">
        <f t="shared" si="13"/>
        <v>170.49582601597703</v>
      </c>
      <c r="J86" s="8">
        <f>I86*'Grid Power'!K49</f>
        <v>86.161679088554123</v>
      </c>
      <c r="K86">
        <f t="shared" si="14"/>
        <v>32</v>
      </c>
      <c r="L86" s="76">
        <f>PMT(3%,K86,-NPV(3%,$J$54:J86))+(Configurations!$D$6*Configurations!$C$6*(1+Constants!$D$31))/'Analysis (A)'!K86</f>
        <v>53.985918265521818</v>
      </c>
      <c r="M86" s="76"/>
    </row>
    <row r="87" spans="6:13" x14ac:dyDescent="0.25">
      <c r="F87">
        <f t="shared" ref="F87" si="36">F40</f>
        <v>33</v>
      </c>
      <c r="G87" s="73">
        <f t="shared" si="16"/>
        <v>0.84754285030234533</v>
      </c>
      <c r="H87" s="3">
        <f t="shared" si="12"/>
        <v>0.15245714969765467</v>
      </c>
      <c r="I87" s="18">
        <f t="shared" si="13"/>
        <v>175.39563991589714</v>
      </c>
      <c r="J87" s="8">
        <f>I87*'Grid Power'!K50</f>
        <v>92.922858196272472</v>
      </c>
      <c r="K87">
        <f t="shared" si="14"/>
        <v>33</v>
      </c>
      <c r="L87" s="76">
        <f>PMT(3%,K87,-NPV(3%,$J$54:J87))+(Configurations!$D$6*Configurations!$C$6*(1+Constants!$D$31))/'Analysis (A)'!K87</f>
        <v>54.264283660984461</v>
      </c>
      <c r="M87" s="76"/>
    </row>
    <row r="88" spans="6:13" x14ac:dyDescent="0.25">
      <c r="F88">
        <f t="shared" ref="F88" si="37">F41</f>
        <v>34</v>
      </c>
      <c r="G88" s="73">
        <f t="shared" si="16"/>
        <v>0.84330513605083357</v>
      </c>
      <c r="H88" s="3">
        <f t="shared" si="12"/>
        <v>0.15669486394916643</v>
      </c>
      <c r="I88" s="18">
        <f t="shared" si="13"/>
        <v>180.2709547463177</v>
      </c>
      <c r="J88" s="8">
        <f>I88*'Grid Power'!K51</f>
        <v>100.1291543151042</v>
      </c>
      <c r="K88">
        <f t="shared" si="14"/>
        <v>34</v>
      </c>
      <c r="L88" s="76">
        <f>PMT(3%,K88,-NPV(3%,$J$54:J88))+(Configurations!$D$6*Configurations!$C$6*(1+Constants!$D$31))/'Analysis (A)'!K88</f>
        <v>54.642024711621794</v>
      </c>
      <c r="M88" s="76"/>
    </row>
    <row r="89" spans="6:13" x14ac:dyDescent="0.25">
      <c r="F89">
        <f t="shared" ref="F89" si="38">F42</f>
        <v>35</v>
      </c>
      <c r="G89" s="73">
        <f t="shared" si="16"/>
        <v>0.83908861037057936</v>
      </c>
      <c r="H89" s="3">
        <f t="shared" si="12"/>
        <v>0.16091138962942064</v>
      </c>
      <c r="I89" s="18">
        <f t="shared" si="13"/>
        <v>185.12189300258615</v>
      </c>
      <c r="J89" s="8">
        <f>I89*'Grid Power'!K52</f>
        <v>107.80790917982425</v>
      </c>
      <c r="K89">
        <f t="shared" si="14"/>
        <v>35</v>
      </c>
      <c r="L89" s="76">
        <f>PMT(3%,K89,-NPV(3%,$J$54:J89))+(Configurations!$D$6*Configurations!$C$6*(1+Constants!$D$31))/'Analysis (A)'!K89</f>
        <v>55.115671974462657</v>
      </c>
      <c r="M89" s="76"/>
    </row>
    <row r="90" spans="6:13" x14ac:dyDescent="0.25">
      <c r="F90">
        <f t="shared" ref="F90" si="39">F43</f>
        <v>36</v>
      </c>
      <c r="G90" s="73">
        <f t="shared" si="16"/>
        <v>0.83489316731872643</v>
      </c>
      <c r="H90" s="3">
        <f t="shared" si="12"/>
        <v>0.16510683268127357</v>
      </c>
      <c r="I90" s="18">
        <f t="shared" si="13"/>
        <v>189.94857656757327</v>
      </c>
      <c r="J90" s="8">
        <f>I90*'Grid Power'!K53</f>
        <v>115.98807625920769</v>
      </c>
      <c r="K90">
        <f t="shared" si="14"/>
        <v>36</v>
      </c>
      <c r="L90" s="76">
        <f>PMT(3%,K90,-NPV(3%,$J$54:J90))+(Configurations!$D$6*Configurations!$C$6*(1+Constants!$D$31))/'Analysis (A)'!K90</f>
        <v>55.682320096936351</v>
      </c>
      <c r="M90" s="76"/>
    </row>
    <row r="91" spans="6:13" x14ac:dyDescent="0.25">
      <c r="F91">
        <f t="shared" ref="F91" si="40">F44</f>
        <v>37</v>
      </c>
      <c r="G91" s="73">
        <f t="shared" si="16"/>
        <v>0.83071870148213278</v>
      </c>
      <c r="H91" s="3">
        <f t="shared" si="12"/>
        <v>0.16928129851786722</v>
      </c>
      <c r="I91" s="18">
        <f t="shared" si="13"/>
        <v>194.75112671473542</v>
      </c>
      <c r="J91" s="8">
        <f>I91*'Grid Power'!K54</f>
        <v>124.70031307050768</v>
      </c>
      <c r="K91">
        <f t="shared" si="14"/>
        <v>37</v>
      </c>
      <c r="L91" s="76">
        <f>PMT(3%,K91,-NPV(3%,$J$54:J91))+(Configurations!$D$6*Configurations!$C$6*(1+Constants!$D$31))/'Analysis (A)'!K91</f>
        <v>56.339556930659711</v>
      </c>
      <c r="M91" s="76"/>
    </row>
    <row r="92" spans="6:13" x14ac:dyDescent="0.25">
      <c r="F92">
        <f t="shared" ref="F92" si="41">F45</f>
        <v>38</v>
      </c>
      <c r="G92" s="73">
        <f t="shared" si="16"/>
        <v>0.82656510797472216</v>
      </c>
      <c r="H92" s="3">
        <f t="shared" si="12"/>
        <v>0.17343489202527784</v>
      </c>
      <c r="I92" s="18">
        <f t="shared" si="13"/>
        <v>199.52966411116168</v>
      </c>
      <c r="J92" s="8">
        <f>I92*'Grid Power'!K55</f>
        <v>133.97707866968906</v>
      </c>
      <c r="K92">
        <f t="shared" si="14"/>
        <v>38</v>
      </c>
      <c r="L92" s="76">
        <f>PMT(3%,K92,-NPV(3%,$J$54:J92))+(Configurations!$D$6*Configurations!$C$6*(1+Constants!$D$31))/'Analysis (A)'!K92</f>
        <v>57.08540397709794</v>
      </c>
      <c r="M92" s="76"/>
    </row>
    <row r="93" spans="6:13" x14ac:dyDescent="0.25">
      <c r="F93">
        <f t="shared" ref="F93" si="42">F46</f>
        <v>39</v>
      </c>
      <c r="G93" s="73">
        <f t="shared" si="16"/>
        <v>0.82243228243484856</v>
      </c>
      <c r="H93" s="3">
        <f t="shared" si="12"/>
        <v>0.17756771756515144</v>
      </c>
      <c r="I93" s="18">
        <f t="shared" si="13"/>
        <v>204.28430882060587</v>
      </c>
      <c r="J93" s="8">
        <f>I93*'Grid Power'!K56</f>
        <v>143.85273660290397</v>
      </c>
      <c r="K93">
        <f t="shared" si="14"/>
        <v>39</v>
      </c>
      <c r="L93" s="76">
        <f>PMT(3%,K93,-NPV(3%,$J$54:J93))+(Configurations!$D$6*Configurations!$C$6*(1+Constants!$D$31))/'Analysis (A)'!K93</f>
        <v>57.918266134548588</v>
      </c>
      <c r="M93" s="76"/>
    </row>
    <row r="94" spans="6:13" x14ac:dyDescent="0.25">
      <c r="F94" s="77">
        <f t="shared" ref="F94" si="43">F47</f>
        <v>40</v>
      </c>
      <c r="G94" s="96">
        <f t="shared" si="16"/>
        <v>0.81832012102267426</v>
      </c>
      <c r="H94" s="97">
        <f t="shared" si="12"/>
        <v>0.18167987897732574</v>
      </c>
      <c r="I94" s="19">
        <f t="shared" si="13"/>
        <v>209.01518030650291</v>
      </c>
      <c r="J94" s="98">
        <f>I94*'Grid Power'!K57</f>
        <v>154.36366362024364</v>
      </c>
      <c r="K94" s="77">
        <f t="shared" si="14"/>
        <v>40</v>
      </c>
      <c r="L94" s="99">
        <f>PMT(3%,K94,-NPV(3%,$J$54:J94))+(Configurations!$D$6*Configurations!$C$6*(1+Constants!$D$31))/'Analysis (A)'!K94</f>
        <v>58.836889122090653</v>
      </c>
      <c r="M94" s="76"/>
    </row>
  </sheetData>
  <mergeCells count="15">
    <mergeCell ref="P4:W4"/>
    <mergeCell ref="G4:I4"/>
    <mergeCell ref="F4:F6"/>
    <mergeCell ref="C6:D6"/>
    <mergeCell ref="B5:D5"/>
    <mergeCell ref="M4:N4"/>
    <mergeCell ref="J4:L4"/>
    <mergeCell ref="G5:G6"/>
    <mergeCell ref="F50:L50"/>
    <mergeCell ref="F52:F53"/>
    <mergeCell ref="G52:G53"/>
    <mergeCell ref="H52:H53"/>
    <mergeCell ref="F51:J51"/>
    <mergeCell ref="K51:L51"/>
    <mergeCell ref="K52:K53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F1BB-3B43-48FF-938F-A4FD2F044C07}">
  <sheetPr>
    <tabColor rgb="FF002060"/>
  </sheetPr>
  <dimension ref="B2:B30"/>
  <sheetViews>
    <sheetView workbookViewId="0">
      <selection activeCell="D23" sqref="D23"/>
    </sheetView>
  </sheetViews>
  <sheetFormatPr defaultColWidth="8.85546875" defaultRowHeight="15" x14ac:dyDescent="0.25"/>
  <sheetData>
    <row r="2" spans="2:2" x14ac:dyDescent="0.25">
      <c r="B2" t="s">
        <v>81</v>
      </c>
    </row>
    <row r="3" spans="2:2" x14ac:dyDescent="0.25">
      <c r="B3" t="s">
        <v>216</v>
      </c>
    </row>
    <row r="5" spans="2:2" x14ac:dyDescent="0.25">
      <c r="B5" t="s">
        <v>217</v>
      </c>
    </row>
    <row r="30" spans="2:2" x14ac:dyDescent="0.25">
      <c r="B3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Constants</vt:lpstr>
      <vt:lpstr>Configurations</vt:lpstr>
      <vt:lpstr>Grid Power</vt:lpstr>
      <vt:lpstr>Weather</vt:lpstr>
      <vt:lpstr>Consumption</vt:lpstr>
      <vt:lpstr>Incentives</vt:lpstr>
      <vt:lpstr>Analysis (Nothing)</vt:lpstr>
      <vt:lpstr>Analysis (A)</vt:lpstr>
      <vt:lpstr>Replacement Analysis</vt:lpstr>
      <vt:lpstr>Installation</vt:lpstr>
      <vt:lpstr>Capital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Administrator</cp:lastModifiedBy>
  <dcterms:created xsi:type="dcterms:W3CDTF">2018-08-13T15:26:59Z</dcterms:created>
  <dcterms:modified xsi:type="dcterms:W3CDTF">2018-08-15T22:32:54Z</dcterms:modified>
</cp:coreProperties>
</file>