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chster\OneDrive\Documents\2018 UBC\MECH 431\MECH431\data\"/>
    </mc:Choice>
  </mc:AlternateContent>
  <xr:revisionPtr revIDLastSave="3098" documentId="102_{C2B16FCC-652D-EE4C-A453-90CCD8144001}" xr6:coauthVersionLast="34" xr6:coauthVersionMax="36" xr10:uidLastSave="{6DEA0FA4-A475-4BA5-9057-3769D7F220A2}"/>
  <bookViews>
    <workbookView xWindow="0" yWindow="1785" windowWidth="38400" windowHeight="20100" tabRatio="778" firstSheet="5" activeTab="9" xr2:uid="{B79B3171-F36B-48DE-8068-476A01F57370}"/>
  </bookViews>
  <sheets>
    <sheet name="Constants" sheetId="1" r:id="rId1"/>
    <sheet name="Configurations" sheetId="15" r:id="rId2"/>
    <sheet name="Grid Power" sheetId="7" r:id="rId3"/>
    <sheet name="Weather" sheetId="10" r:id="rId4"/>
    <sheet name="Consumption" sheetId="11" r:id="rId5"/>
    <sheet name="Incentives" sheetId="16" r:id="rId6"/>
    <sheet name="Analysis (Nothing)" sheetId="5" r:id="rId7"/>
    <sheet name="Analysis (A)" sheetId="8" r:id="rId8"/>
    <sheet name="Analysis (B)" sheetId="17" r:id="rId9"/>
    <sheet name="Analysis (C)" sheetId="19" r:id="rId10"/>
    <sheet name="Incremental" sheetId="23" r:id="rId11"/>
    <sheet name="Sources" sheetId="4" r:id="rId12"/>
    <sheet name="Sheet2" sheetId="21" r:id="rId13"/>
  </sheets>
  <definedNames>
    <definedName name="_xlnm.Print_Area" localSheetId="7">'Analysis (A)'!$A$1:$AC$85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1" l="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3" i="21"/>
  <c r="K4" i="21"/>
  <c r="K5" i="21"/>
  <c r="K2" i="21"/>
  <c r="G2" i="21"/>
  <c r="D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2" i="21"/>
  <c r="G9" i="10"/>
  <c r="G10" i="10"/>
  <c r="G11" i="10"/>
  <c r="G12" i="10"/>
  <c r="G13" i="10"/>
  <c r="G14" i="10"/>
  <c r="G15" i="10"/>
  <c r="G16" i="10"/>
  <c r="G17" i="10"/>
  <c r="G18" i="10"/>
  <c r="G19" i="10"/>
  <c r="G8" i="10"/>
  <c r="K5" i="23"/>
  <c r="K6" i="23"/>
  <c r="K7" i="23"/>
  <c r="N3" i="23" s="1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" i="23"/>
  <c r="H58" i="15"/>
  <c r="S29" i="8"/>
  <c r="S75" i="8"/>
  <c r="H2" i="21"/>
  <c r="G3" i="21"/>
  <c r="G4" i="21" s="1"/>
  <c r="G5" i="21" s="1"/>
  <c r="E56" i="15"/>
  <c r="C21" i="15"/>
  <c r="C20" i="15"/>
  <c r="D18" i="15"/>
  <c r="M9" i="17"/>
  <c r="M10" i="17"/>
  <c r="M11" i="17"/>
  <c r="M12" i="17"/>
  <c r="M8" i="17"/>
  <c r="M9" i="19"/>
  <c r="M10" i="19"/>
  <c r="M11" i="19"/>
  <c r="M12" i="19"/>
  <c r="M8" i="19"/>
  <c r="N9" i="19"/>
  <c r="N10" i="19"/>
  <c r="N11" i="19"/>
  <c r="N12" i="19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" i="8"/>
  <c r="L9" i="8"/>
  <c r="L10" i="8"/>
  <c r="L11" i="8"/>
  <c r="L12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G3" i="23" l="1"/>
  <c r="G6" i="2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25" i="17"/>
  <c r="M26" i="17"/>
  <c r="M27" i="17"/>
  <c r="M28" i="17"/>
  <c r="M29" i="17"/>
  <c r="M30" i="17"/>
  <c r="M31" i="17"/>
  <c r="M32" i="17"/>
  <c r="M33" i="17"/>
  <c r="M24" i="17"/>
  <c r="M23" i="17"/>
  <c r="M22" i="17"/>
  <c r="M21" i="17"/>
  <c r="M20" i="17"/>
  <c r="M19" i="17"/>
  <c r="M18" i="17"/>
  <c r="F35" i="15"/>
  <c r="F34" i="15"/>
  <c r="M7" i="17"/>
  <c r="M44" i="19"/>
  <c r="M18" i="19"/>
  <c r="M7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51" i="19"/>
  <c r="M52" i="19"/>
  <c r="M53" i="19"/>
  <c r="M54" i="19"/>
  <c r="M55" i="19"/>
  <c r="M56" i="19"/>
  <c r="M57" i="19"/>
  <c r="M58" i="19"/>
  <c r="M59" i="19"/>
  <c r="M50" i="19"/>
  <c r="M46" i="19"/>
  <c r="M47" i="19"/>
  <c r="M48" i="19"/>
  <c r="M49" i="19"/>
  <c r="M45" i="19"/>
  <c r="O74" i="19"/>
  <c r="O64" i="19"/>
  <c r="O54" i="19"/>
  <c r="T75" i="19"/>
  <c r="T74" i="19"/>
  <c r="T65" i="19"/>
  <c r="T64" i="19"/>
  <c r="T55" i="19"/>
  <c r="T54" i="19"/>
  <c r="Z75" i="19"/>
  <c r="Z74" i="19"/>
  <c r="Z65" i="19"/>
  <c r="Z64" i="19"/>
  <c r="Z55" i="19"/>
  <c r="Z54" i="19"/>
  <c r="Z45" i="19"/>
  <c r="Z44" i="19"/>
  <c r="W45" i="19"/>
  <c r="W44" i="19"/>
  <c r="T45" i="19"/>
  <c r="T44" i="19"/>
  <c r="N45" i="19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N84" i="19" s="1"/>
  <c r="N19" i="19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8" i="19"/>
  <c r="Z29" i="19"/>
  <c r="Z28" i="19"/>
  <c r="T29" i="19"/>
  <c r="T28" i="19"/>
  <c r="O28" i="19"/>
  <c r="Z19" i="19"/>
  <c r="Z18" i="19"/>
  <c r="W19" i="19"/>
  <c r="W18" i="19"/>
  <c r="W7" i="19"/>
  <c r="W8" i="19"/>
  <c r="T19" i="19"/>
  <c r="T18" i="19"/>
  <c r="U18" i="19"/>
  <c r="Z8" i="19"/>
  <c r="Z7" i="19"/>
  <c r="AB7" i="19" s="1"/>
  <c r="AA8" i="19" s="1"/>
  <c r="T8" i="19"/>
  <c r="T7" i="19"/>
  <c r="F59" i="15"/>
  <c r="F58" i="15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I91" i="19"/>
  <c r="J91" i="19" s="1"/>
  <c r="M90" i="19"/>
  <c r="J90" i="19"/>
  <c r="I88" i="19"/>
  <c r="H88" i="19"/>
  <c r="I45" i="19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AB44" i="19"/>
  <c r="AA45" i="19" s="1"/>
  <c r="X44" i="19"/>
  <c r="U44" i="19"/>
  <c r="V44" i="19"/>
  <c r="Z42" i="19"/>
  <c r="W42" i="19"/>
  <c r="T42" i="19"/>
  <c r="I19" i="19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AB18" i="19"/>
  <c r="AA19" i="19" s="1"/>
  <c r="X18" i="19"/>
  <c r="Y18" i="19" s="1"/>
  <c r="X19" i="19" s="1"/>
  <c r="Z16" i="19"/>
  <c r="W16" i="19"/>
  <c r="T16" i="19"/>
  <c r="I8" i="19"/>
  <c r="I9" i="19" s="1"/>
  <c r="I10" i="19" s="1"/>
  <c r="I11" i="19" s="1"/>
  <c r="I12" i="19" s="1"/>
  <c r="X7" i="19"/>
  <c r="U7" i="19"/>
  <c r="Z5" i="19"/>
  <c r="W5" i="19"/>
  <c r="T5" i="19"/>
  <c r="V18" i="19" l="1"/>
  <c r="U19" i="19" s="1"/>
  <c r="V7" i="19"/>
  <c r="U8" i="19" s="1"/>
  <c r="Y7" i="19"/>
  <c r="AB8" i="19"/>
  <c r="AA9" i="19" s="1"/>
  <c r="AB19" i="19"/>
  <c r="AA20" i="19" s="1"/>
  <c r="V8" i="19"/>
  <c r="U9" i="19" s="1"/>
  <c r="Y19" i="19"/>
  <c r="X20" i="19" s="1"/>
  <c r="U45" i="19"/>
  <c r="V45" i="19" s="1"/>
  <c r="Y44" i="19"/>
  <c r="AB45" i="19"/>
  <c r="I92" i="19"/>
  <c r="O35" i="1"/>
  <c r="O36" i="1"/>
  <c r="O37" i="1"/>
  <c r="O38" i="1"/>
  <c r="O34" i="1"/>
  <c r="C57" i="15"/>
  <c r="X8" i="19" l="1"/>
  <c r="Y8" i="19" s="1"/>
  <c r="V19" i="19"/>
  <c r="U20" i="19" s="1"/>
  <c r="AB9" i="19"/>
  <c r="AA10" i="19" s="1"/>
  <c r="V20" i="19"/>
  <c r="U21" i="19" s="1"/>
  <c r="U46" i="19"/>
  <c r="V46" i="19" s="1"/>
  <c r="AA46" i="19"/>
  <c r="AB46" i="19" s="1"/>
  <c r="X45" i="19"/>
  <c r="Y45" i="19" s="1"/>
  <c r="Y20" i="19"/>
  <c r="X21" i="19" s="1"/>
  <c r="AB20" i="19"/>
  <c r="AA21" i="19" s="1"/>
  <c r="V9" i="19"/>
  <c r="U10" i="19" s="1"/>
  <c r="I93" i="19"/>
  <c r="J92" i="19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I91" i="17"/>
  <c r="I92" i="17" s="1"/>
  <c r="M90" i="17"/>
  <c r="J90" i="17"/>
  <c r="I88" i="17"/>
  <c r="H88" i="17"/>
  <c r="I45" i="17"/>
  <c r="I46" i="17" s="1"/>
  <c r="X44" i="17"/>
  <c r="U44" i="17"/>
  <c r="Z42" i="17"/>
  <c r="W42" i="17"/>
  <c r="T42" i="17"/>
  <c r="I19" i="17"/>
  <c r="I20" i="17" s="1"/>
  <c r="X18" i="17"/>
  <c r="U18" i="17"/>
  <c r="Z16" i="17"/>
  <c r="W16" i="17"/>
  <c r="T16" i="17"/>
  <c r="D63" i="1"/>
  <c r="G8" i="8"/>
  <c r="G9" i="8" s="1"/>
  <c r="G10" i="8" s="1"/>
  <c r="G11" i="8" s="1"/>
  <c r="G12" i="8" s="1"/>
  <c r="L16" i="7"/>
  <c r="L17" i="7" s="1"/>
  <c r="L18" i="7" s="1"/>
  <c r="X7" i="17"/>
  <c r="U7" i="17"/>
  <c r="Z5" i="17"/>
  <c r="W5" i="17"/>
  <c r="T5" i="17"/>
  <c r="I8" i="17"/>
  <c r="I9" i="17" s="1"/>
  <c r="I10" i="17" s="1"/>
  <c r="X9" i="19" l="1"/>
  <c r="Y9" i="19" s="1"/>
  <c r="P44" i="19"/>
  <c r="R44" i="19" s="1"/>
  <c r="F2" i="21" s="1"/>
  <c r="P18" i="19"/>
  <c r="R18" i="19" s="1"/>
  <c r="S18" i="19" s="1"/>
  <c r="AC18" i="19" s="1"/>
  <c r="AD18" i="19" s="1"/>
  <c r="AE18" i="19" s="1"/>
  <c r="P7" i="19"/>
  <c r="R7" i="19" s="1"/>
  <c r="S7" i="19" s="1"/>
  <c r="AC7" i="19" s="1"/>
  <c r="AD7" i="19" s="1"/>
  <c r="AE7" i="19" s="1"/>
  <c r="AF7" i="19" s="1"/>
  <c r="P7" i="17"/>
  <c r="AB21" i="19"/>
  <c r="AA22" i="19" s="1"/>
  <c r="V21" i="19"/>
  <c r="U22" i="19" s="1"/>
  <c r="U47" i="19"/>
  <c r="V47" i="19" s="1"/>
  <c r="Y21" i="19"/>
  <c r="X22" i="19" s="1"/>
  <c r="X46" i="19"/>
  <c r="Y46" i="19" s="1"/>
  <c r="AA47" i="19"/>
  <c r="AB47" i="19" s="1"/>
  <c r="V10" i="19"/>
  <c r="U11" i="19" s="1"/>
  <c r="I94" i="19"/>
  <c r="J93" i="19"/>
  <c r="L19" i="7"/>
  <c r="P18" i="17"/>
  <c r="P44" i="17"/>
  <c r="J92" i="17"/>
  <c r="I93" i="17"/>
  <c r="J91" i="17"/>
  <c r="I47" i="17"/>
  <c r="I21" i="17"/>
  <c r="I11" i="17"/>
  <c r="C33" i="15"/>
  <c r="R35" i="1"/>
  <c r="R33" i="1"/>
  <c r="E35" i="1"/>
  <c r="E36" i="1"/>
  <c r="E37" i="1"/>
  <c r="E38" i="1"/>
  <c r="E39" i="1"/>
  <c r="E34" i="1"/>
  <c r="G91" i="8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S65" i="8"/>
  <c r="S64" i="8"/>
  <c r="G45" i="8"/>
  <c r="P44" i="8"/>
  <c r="S22" i="8"/>
  <c r="S21" i="8"/>
  <c r="S20" i="8"/>
  <c r="G19" i="8"/>
  <c r="O18" i="8"/>
  <c r="N2" i="21" l="1"/>
  <c r="S44" i="19"/>
  <c r="AC44" i="19" s="1"/>
  <c r="AD44" i="19" s="1"/>
  <c r="AE44" i="19" s="1"/>
  <c r="AF44" i="19" s="1"/>
  <c r="X10" i="19"/>
  <c r="Y10" i="19" s="1"/>
  <c r="AF18" i="19"/>
  <c r="AB10" i="19"/>
  <c r="AA11" i="19" s="1"/>
  <c r="V22" i="19"/>
  <c r="U23" i="19" s="1"/>
  <c r="V11" i="19"/>
  <c r="U12" i="19" s="1"/>
  <c r="Y22" i="19"/>
  <c r="X23" i="19" s="1"/>
  <c r="AA48" i="19"/>
  <c r="X47" i="19"/>
  <c r="J94" i="19"/>
  <c r="I95" i="19"/>
  <c r="U48" i="19"/>
  <c r="V48" i="19" s="1"/>
  <c r="C32" i="15"/>
  <c r="C56" i="15"/>
  <c r="C58" i="15" s="1"/>
  <c r="L20" i="7"/>
  <c r="I94" i="17"/>
  <c r="J93" i="17"/>
  <c r="I48" i="17"/>
  <c r="I22" i="17"/>
  <c r="R36" i="1"/>
  <c r="I12" i="17"/>
  <c r="C34" i="15"/>
  <c r="S70" i="8"/>
  <c r="S56" i="8"/>
  <c r="S58" i="8"/>
  <c r="S61" i="8"/>
  <c r="S73" i="8"/>
  <c r="S69" i="8"/>
  <c r="S66" i="8"/>
  <c r="S60" i="8"/>
  <c r="S68" i="8"/>
  <c r="S72" i="8"/>
  <c r="S62" i="8"/>
  <c r="G46" i="8"/>
  <c r="S57" i="8"/>
  <c r="S59" i="8"/>
  <c r="S67" i="8"/>
  <c r="S71" i="8"/>
  <c r="S63" i="8"/>
  <c r="G20" i="8"/>
  <c r="E5" i="5"/>
  <c r="K129" i="8"/>
  <c r="K130" i="8"/>
  <c r="K125" i="8"/>
  <c r="K126" i="8"/>
  <c r="K127" i="8"/>
  <c r="K128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G88" i="8"/>
  <c r="H90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F88" i="8"/>
  <c r="O7" i="8"/>
  <c r="H91" i="8"/>
  <c r="C11" i="11"/>
  <c r="C12" i="11"/>
  <c r="C13" i="11"/>
  <c r="C14" i="11"/>
  <c r="C15" i="11"/>
  <c r="C16" i="11"/>
  <c r="C17" i="11"/>
  <c r="C18" i="11"/>
  <c r="C19" i="11"/>
  <c r="C20" i="11"/>
  <c r="C21" i="11"/>
  <c r="C10" i="11"/>
  <c r="C24" i="15"/>
  <c r="C17" i="15"/>
  <c r="E7" i="15"/>
  <c r="E8" i="15"/>
  <c r="E9" i="15"/>
  <c r="E6" i="15"/>
  <c r="C15" i="15" s="1"/>
  <c r="N7" i="8"/>
  <c r="F9" i="10"/>
  <c r="F10" i="10"/>
  <c r="F11" i="10"/>
  <c r="F12" i="10"/>
  <c r="F13" i="10"/>
  <c r="F14" i="10"/>
  <c r="F15" i="10"/>
  <c r="F16" i="10"/>
  <c r="F17" i="10"/>
  <c r="F18" i="10"/>
  <c r="F19" i="10"/>
  <c r="E9" i="10"/>
  <c r="E10" i="10"/>
  <c r="E11" i="10"/>
  <c r="E12" i="10"/>
  <c r="E13" i="10"/>
  <c r="E14" i="10"/>
  <c r="E15" i="10"/>
  <c r="E16" i="10"/>
  <c r="E17" i="10"/>
  <c r="E18" i="10"/>
  <c r="E19" i="10"/>
  <c r="F8" i="10"/>
  <c r="E8" i="10"/>
  <c r="D9" i="10"/>
  <c r="D10" i="10"/>
  <c r="D11" i="10"/>
  <c r="D12" i="10"/>
  <c r="D13" i="10"/>
  <c r="D14" i="10"/>
  <c r="D15" i="10"/>
  <c r="D16" i="10"/>
  <c r="D17" i="10"/>
  <c r="D18" i="10"/>
  <c r="D19" i="10"/>
  <c r="I19" i="10" s="1"/>
  <c r="D8" i="10"/>
  <c r="E18" i="7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D18" i="7"/>
  <c r="D19" i="7" s="1"/>
  <c r="U22" i="1"/>
  <c r="G6" i="7"/>
  <c r="G7" i="7"/>
  <c r="G8" i="7"/>
  <c r="G9" i="7"/>
  <c r="G10" i="7"/>
  <c r="G11" i="7"/>
  <c r="G12" i="7"/>
  <c r="G13" i="7"/>
  <c r="G14" i="7"/>
  <c r="G15" i="7"/>
  <c r="G16" i="7"/>
  <c r="G17" i="7"/>
  <c r="G5" i="7"/>
  <c r="H17" i="7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J17" i="7"/>
  <c r="I17" i="7"/>
  <c r="I18" i="7" s="1"/>
  <c r="K17" i="7"/>
  <c r="L25" i="4"/>
  <c r="K28" i="4" s="1"/>
  <c r="K29" i="4" s="1"/>
  <c r="K30" i="4" s="1"/>
  <c r="K31" i="4" s="1"/>
  <c r="C4" i="11"/>
  <c r="D17" i="11" s="1"/>
  <c r="C17" i="17" l="1"/>
  <c r="C17" i="19"/>
  <c r="D14" i="11"/>
  <c r="D10" i="17" s="1"/>
  <c r="D21" i="11"/>
  <c r="D17" i="19" s="1"/>
  <c r="D12" i="11"/>
  <c r="D8" i="17" s="1"/>
  <c r="D19" i="11"/>
  <c r="D15" i="19" s="1"/>
  <c r="D13" i="19"/>
  <c r="D13" i="17"/>
  <c r="D13" i="11"/>
  <c r="C22" i="11"/>
  <c r="D8" i="19"/>
  <c r="X11" i="19"/>
  <c r="Y11" i="19" s="1"/>
  <c r="AB11" i="19"/>
  <c r="U49" i="19"/>
  <c r="V49" i="19" s="1"/>
  <c r="Y23" i="19"/>
  <c r="X24" i="19" s="1"/>
  <c r="V23" i="19"/>
  <c r="U24" i="19" s="1"/>
  <c r="V12" i="19"/>
  <c r="AB48" i="19"/>
  <c r="AB22" i="19"/>
  <c r="AA23" i="19" s="1"/>
  <c r="J95" i="19"/>
  <c r="I96" i="19"/>
  <c r="Y47" i="19"/>
  <c r="C59" i="15"/>
  <c r="D63" i="15"/>
  <c r="D67" i="15"/>
  <c r="D66" i="15"/>
  <c r="D64" i="15"/>
  <c r="D71" i="15" s="1"/>
  <c r="D68" i="15"/>
  <c r="D65" i="15"/>
  <c r="E71" i="15" s="1"/>
  <c r="D62" i="15"/>
  <c r="C71" i="15" s="1"/>
  <c r="C35" i="15"/>
  <c r="L21" i="7"/>
  <c r="D39" i="15"/>
  <c r="J94" i="17"/>
  <c r="I95" i="17"/>
  <c r="I49" i="17"/>
  <c r="I8" i="10"/>
  <c r="I23" i="17"/>
  <c r="I24" i="17" s="1"/>
  <c r="I25" i="17" s="1"/>
  <c r="I26" i="17" s="1"/>
  <c r="I27" i="17" s="1"/>
  <c r="I28" i="17" s="1"/>
  <c r="C16" i="8"/>
  <c r="N18" i="8"/>
  <c r="N44" i="8"/>
  <c r="D42" i="15"/>
  <c r="D41" i="15"/>
  <c r="D38" i="15"/>
  <c r="D40" i="15"/>
  <c r="D47" i="15" s="1"/>
  <c r="D43" i="15"/>
  <c r="D44" i="15"/>
  <c r="I13" i="10"/>
  <c r="I14" i="10"/>
  <c r="I18" i="10"/>
  <c r="I17" i="10"/>
  <c r="I10" i="10"/>
  <c r="I15" i="10"/>
  <c r="I12" i="10"/>
  <c r="I9" i="10"/>
  <c r="I16" i="10"/>
  <c r="I11" i="10"/>
  <c r="G47" i="8"/>
  <c r="G21" i="8"/>
  <c r="G22" i="8" s="1"/>
  <c r="G23" i="8" s="1"/>
  <c r="G24" i="8" s="1"/>
  <c r="G18" i="7"/>
  <c r="J18" i="7" s="1"/>
  <c r="K18" i="7" s="1"/>
  <c r="C16" i="15"/>
  <c r="D15" i="11"/>
  <c r="D20" i="11"/>
  <c r="D18" i="11"/>
  <c r="D10" i="11"/>
  <c r="D16" i="11"/>
  <c r="I19" i="7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D11" i="11"/>
  <c r="D20" i="7"/>
  <c r="G19" i="7"/>
  <c r="J19" i="7" s="1"/>
  <c r="C6" i="19" l="1"/>
  <c r="C5" i="8"/>
  <c r="C16" i="17"/>
  <c r="C16" i="19"/>
  <c r="C9" i="17"/>
  <c r="C9" i="19"/>
  <c r="C13" i="17"/>
  <c r="C13" i="19"/>
  <c r="F13" i="19" s="1"/>
  <c r="C12" i="17"/>
  <c r="C12" i="19"/>
  <c r="C8" i="17"/>
  <c r="E8" i="17" s="1"/>
  <c r="C8" i="19"/>
  <c r="E8" i="19" s="1"/>
  <c r="C10" i="17"/>
  <c r="F10" i="17" s="1"/>
  <c r="C10" i="19"/>
  <c r="E10" i="19" s="1"/>
  <c r="C14" i="17"/>
  <c r="C14" i="19"/>
  <c r="C11" i="17"/>
  <c r="C11" i="19"/>
  <c r="C7" i="17"/>
  <c r="C7" i="19"/>
  <c r="C15" i="17"/>
  <c r="C15" i="19"/>
  <c r="E15" i="19" s="1"/>
  <c r="F13" i="17"/>
  <c r="D10" i="19"/>
  <c r="D17" i="17"/>
  <c r="F17" i="17" s="1"/>
  <c r="D15" i="17"/>
  <c r="D16" i="19"/>
  <c r="D16" i="17"/>
  <c r="F16" i="17" s="1"/>
  <c r="D6" i="19"/>
  <c r="D6" i="17"/>
  <c r="D7" i="19"/>
  <c r="D7" i="17"/>
  <c r="F7" i="17" s="1"/>
  <c r="D14" i="19"/>
  <c r="D14" i="17"/>
  <c r="D9" i="19"/>
  <c r="D9" i="17"/>
  <c r="F17" i="19"/>
  <c r="E17" i="19"/>
  <c r="D12" i="19"/>
  <c r="D12" i="17"/>
  <c r="D11" i="19"/>
  <c r="D11" i="17"/>
  <c r="X12" i="19"/>
  <c r="Y12" i="19" s="1"/>
  <c r="AA12" i="19"/>
  <c r="AB12" i="19" s="1"/>
  <c r="Y24" i="19"/>
  <c r="X25" i="19" s="1"/>
  <c r="V24" i="19"/>
  <c r="U25" i="19" s="1"/>
  <c r="AB23" i="19"/>
  <c r="AA24" i="19" s="1"/>
  <c r="AA49" i="19"/>
  <c r="AB49" i="19" s="1"/>
  <c r="I97" i="19"/>
  <c r="J96" i="19"/>
  <c r="U50" i="19"/>
  <c r="V50" i="19" s="1"/>
  <c r="X48" i="19"/>
  <c r="Y48" i="19" s="1"/>
  <c r="C47" i="15"/>
  <c r="L22" i="7"/>
  <c r="T45" i="17"/>
  <c r="T8" i="17"/>
  <c r="T44" i="17"/>
  <c r="V44" i="17" s="1"/>
  <c r="U45" i="17" s="1"/>
  <c r="T19" i="17"/>
  <c r="T18" i="17"/>
  <c r="V18" i="17" s="1"/>
  <c r="T7" i="17"/>
  <c r="E47" i="15"/>
  <c r="Z65" i="17"/>
  <c r="Z75" i="17"/>
  <c r="Z29" i="17"/>
  <c r="Z64" i="17"/>
  <c r="Z55" i="17"/>
  <c r="Z54" i="17"/>
  <c r="Z28" i="17"/>
  <c r="Z74" i="17"/>
  <c r="R18" i="17"/>
  <c r="S18" i="17" s="1"/>
  <c r="R44" i="17"/>
  <c r="E2" i="21" s="1"/>
  <c r="W44" i="17"/>
  <c r="Y44" i="17" s="1"/>
  <c r="X45" i="17" s="1"/>
  <c r="W19" i="17"/>
  <c r="W18" i="17"/>
  <c r="Y18" i="17" s="1"/>
  <c r="W45" i="17"/>
  <c r="T65" i="17"/>
  <c r="T54" i="17"/>
  <c r="O28" i="17"/>
  <c r="O74" i="17"/>
  <c r="T64" i="17"/>
  <c r="O54" i="17"/>
  <c r="T29" i="17"/>
  <c r="T75" i="17"/>
  <c r="T55" i="17"/>
  <c r="T28" i="17"/>
  <c r="O64" i="17"/>
  <c r="T74" i="17"/>
  <c r="I96" i="17"/>
  <c r="J95" i="17"/>
  <c r="I50" i="17"/>
  <c r="C14" i="8"/>
  <c r="C6" i="8"/>
  <c r="C13" i="8"/>
  <c r="C15" i="8"/>
  <c r="E13" i="17"/>
  <c r="C11" i="8"/>
  <c r="C6" i="17"/>
  <c r="N22" i="10"/>
  <c r="F8" i="17"/>
  <c r="C9" i="8"/>
  <c r="L22" i="10"/>
  <c r="E14" i="17"/>
  <c r="C12" i="8"/>
  <c r="E15" i="17"/>
  <c r="C7" i="8"/>
  <c r="C8" i="8"/>
  <c r="C10" i="8"/>
  <c r="I29" i="17"/>
  <c r="Z8" i="17"/>
  <c r="W8" i="17"/>
  <c r="W7" i="17"/>
  <c r="Y7" i="17" s="1"/>
  <c r="X8" i="17" s="1"/>
  <c r="V7" i="17"/>
  <c r="U8" i="17" s="1"/>
  <c r="M54" i="8"/>
  <c r="M74" i="8"/>
  <c r="M28" i="8"/>
  <c r="C18" i="15"/>
  <c r="G48" i="8"/>
  <c r="G25" i="8"/>
  <c r="H92" i="8"/>
  <c r="K19" i="7"/>
  <c r="D21" i="7"/>
  <c r="G20" i="7"/>
  <c r="J20" i="7" s="1"/>
  <c r="K20" i="7" s="1"/>
  <c r="C43" i="5"/>
  <c r="C14" i="5"/>
  <c r="C35" i="5"/>
  <c r="C21" i="5"/>
  <c r="C18" i="5"/>
  <c r="C6" i="5"/>
  <c r="D6" i="5" s="1"/>
  <c r="C24" i="5"/>
  <c r="C31" i="5"/>
  <c r="C34" i="5"/>
  <c r="C19" i="5"/>
  <c r="C22" i="5"/>
  <c r="C40" i="5"/>
  <c r="C38" i="5"/>
  <c r="C37" i="5"/>
  <c r="C29" i="5"/>
  <c r="C16" i="5"/>
  <c r="C7" i="5"/>
  <c r="C12" i="5"/>
  <c r="C30" i="5"/>
  <c r="C15" i="5"/>
  <c r="C27" i="5"/>
  <c r="C8" i="5"/>
  <c r="C33" i="5"/>
  <c r="C9" i="5"/>
  <c r="C39" i="5"/>
  <c r="C45" i="5"/>
  <c r="C17" i="5"/>
  <c r="C13" i="5"/>
  <c r="C44" i="5"/>
  <c r="C28" i="5"/>
  <c r="C23" i="5"/>
  <c r="C32" i="5"/>
  <c r="D22" i="11"/>
  <c r="C11" i="5"/>
  <c r="C25" i="5"/>
  <c r="C36" i="5"/>
  <c r="C26" i="5"/>
  <c r="C42" i="5"/>
  <c r="C20" i="5"/>
  <c r="C41" i="5"/>
  <c r="C10" i="5"/>
  <c r="M2" i="21" l="1"/>
  <c r="F12" i="17"/>
  <c r="F9" i="17"/>
  <c r="F8" i="19"/>
  <c r="E13" i="19"/>
  <c r="F14" i="17"/>
  <c r="S44" i="17"/>
  <c r="AC44" i="17" s="1"/>
  <c r="AD44" i="17" s="1"/>
  <c r="AE44" i="17" s="1"/>
  <c r="AF44" i="17" s="1"/>
  <c r="F15" i="19"/>
  <c r="F10" i="19"/>
  <c r="C18" i="19"/>
  <c r="K90" i="19" s="1"/>
  <c r="L90" i="19" s="1"/>
  <c r="E10" i="17"/>
  <c r="F15" i="17"/>
  <c r="F11" i="17"/>
  <c r="E16" i="17"/>
  <c r="E12" i="17"/>
  <c r="E7" i="17"/>
  <c r="E17" i="17"/>
  <c r="E9" i="17"/>
  <c r="E11" i="17"/>
  <c r="F12" i="19"/>
  <c r="E12" i="19"/>
  <c r="D18" i="17"/>
  <c r="E14" i="19"/>
  <c r="F14" i="19"/>
  <c r="F6" i="19"/>
  <c r="E6" i="19"/>
  <c r="D18" i="19"/>
  <c r="F9" i="19"/>
  <c r="E9" i="19"/>
  <c r="E11" i="19"/>
  <c r="F11" i="19"/>
  <c r="E7" i="19"/>
  <c r="F7" i="19"/>
  <c r="F16" i="19"/>
  <c r="E16" i="19"/>
  <c r="Q12" i="19"/>
  <c r="V25" i="19"/>
  <c r="U26" i="19" s="1"/>
  <c r="U51" i="19"/>
  <c r="V51" i="19" s="1"/>
  <c r="Y25" i="19"/>
  <c r="X26" i="19" s="1"/>
  <c r="AA50" i="19"/>
  <c r="I98" i="19"/>
  <c r="J97" i="19"/>
  <c r="X49" i="19"/>
  <c r="V45" i="17"/>
  <c r="U46" i="17" s="1"/>
  <c r="V46" i="17" s="1"/>
  <c r="U47" i="17" s="1"/>
  <c r="V47" i="17" s="1"/>
  <c r="U48" i="17" s="1"/>
  <c r="L23" i="7"/>
  <c r="AC18" i="17"/>
  <c r="AD18" i="17" s="1"/>
  <c r="X19" i="17"/>
  <c r="Y19" i="17" s="1"/>
  <c r="X20" i="17" s="1"/>
  <c r="Y20" i="17" s="1"/>
  <c r="Z7" i="17"/>
  <c r="AB7" i="17" s="1"/>
  <c r="AA8" i="17" s="1"/>
  <c r="Z44" i="17"/>
  <c r="AB44" i="17" s="1"/>
  <c r="AA45" i="17" s="1"/>
  <c r="Z19" i="17"/>
  <c r="Z18" i="17"/>
  <c r="AB18" i="17" s="1"/>
  <c r="AA19" i="17" s="1"/>
  <c r="Z45" i="17"/>
  <c r="R7" i="17"/>
  <c r="S7" i="17" s="1"/>
  <c r="AC7" i="17" s="1"/>
  <c r="AD7" i="17" s="1"/>
  <c r="AE7" i="17" s="1"/>
  <c r="AF7" i="17" s="1"/>
  <c r="Y45" i="17"/>
  <c r="X46" i="17" s="1"/>
  <c r="Y46" i="17" s="1"/>
  <c r="X47" i="17" s="1"/>
  <c r="Y47" i="17" s="1"/>
  <c r="X48" i="17" s="1"/>
  <c r="Y48" i="17" s="1"/>
  <c r="X49" i="17" s="1"/>
  <c r="Y49" i="17" s="1"/>
  <c r="U19" i="17"/>
  <c r="V19" i="17" s="1"/>
  <c r="J96" i="17"/>
  <c r="I97" i="17"/>
  <c r="I51" i="17"/>
  <c r="E6" i="17"/>
  <c r="C18" i="17"/>
  <c r="F6" i="17"/>
  <c r="I30" i="17"/>
  <c r="V8" i="17"/>
  <c r="U9" i="17" s="1"/>
  <c r="V9" i="17" s="1"/>
  <c r="U10" i="17" s="1"/>
  <c r="V10" i="17" s="1"/>
  <c r="U11" i="17" s="1"/>
  <c r="V11" i="17" s="1"/>
  <c r="U12" i="17" s="1"/>
  <c r="Y8" i="17"/>
  <c r="X9" i="17" s="1"/>
  <c r="Y9" i="17" s="1"/>
  <c r="X10" i="17" s="1"/>
  <c r="Y10" i="17" s="1"/>
  <c r="X11" i="17" s="1"/>
  <c r="Y11" i="17" s="1"/>
  <c r="X12" i="17" s="1"/>
  <c r="Y12" i="17" s="1"/>
  <c r="C17" i="8"/>
  <c r="I90" i="8" s="1"/>
  <c r="J90" i="8" s="1"/>
  <c r="K7" i="8"/>
  <c r="K44" i="8"/>
  <c r="Q44" i="8" s="1"/>
  <c r="R44" i="8" s="1"/>
  <c r="K18" i="8"/>
  <c r="S28" i="8"/>
  <c r="S74" i="8"/>
  <c r="S54" i="8"/>
  <c r="S55" i="8"/>
  <c r="G49" i="8"/>
  <c r="G26" i="8"/>
  <c r="H93" i="8"/>
  <c r="D8" i="5"/>
  <c r="D7" i="5"/>
  <c r="G21" i="7"/>
  <c r="J21" i="7" s="1"/>
  <c r="K21" i="7" s="1"/>
  <c r="D9" i="5" s="1"/>
  <c r="D22" i="7"/>
  <c r="E6" i="5"/>
  <c r="K97" i="19" l="1"/>
  <c r="K95" i="19"/>
  <c r="K91" i="19"/>
  <c r="L91" i="19" s="1"/>
  <c r="K94" i="19"/>
  <c r="L94" i="19" s="1"/>
  <c r="K96" i="19"/>
  <c r="K93" i="19"/>
  <c r="L93" i="19" s="1"/>
  <c r="F18" i="17"/>
  <c r="K47" i="17" s="1"/>
  <c r="P47" i="17" s="1"/>
  <c r="K92" i="19"/>
  <c r="L92" i="19" s="1"/>
  <c r="E18" i="17"/>
  <c r="J45" i="17" s="1"/>
  <c r="L45" i="17" s="1"/>
  <c r="F18" i="19"/>
  <c r="K38" i="19" s="1"/>
  <c r="E18" i="19"/>
  <c r="E7" i="5"/>
  <c r="E8" i="5"/>
  <c r="V48" i="17"/>
  <c r="U49" i="17" s="1"/>
  <c r="V49" i="17" s="1"/>
  <c r="Y26" i="19"/>
  <c r="X27" i="19" s="1"/>
  <c r="V26" i="19"/>
  <c r="U27" i="19" s="1"/>
  <c r="J98" i="19"/>
  <c r="K98" i="19" s="1"/>
  <c r="I99" i="19"/>
  <c r="U52" i="19"/>
  <c r="V52" i="19" s="1"/>
  <c r="Y49" i="19"/>
  <c r="AB24" i="19"/>
  <c r="AA25" i="19" s="1"/>
  <c r="AB50" i="19"/>
  <c r="AB19" i="17"/>
  <c r="AB8" i="17"/>
  <c r="AA9" i="17" s="1"/>
  <c r="AB9" i="17" s="1"/>
  <c r="AA10" i="17" s="1"/>
  <c r="AB10" i="17" s="1"/>
  <c r="AA11" i="17" s="1"/>
  <c r="AB11" i="17" s="1"/>
  <c r="AB45" i="17"/>
  <c r="AA46" i="17" s="1"/>
  <c r="AB46" i="17" s="1"/>
  <c r="AA47" i="17" s="1"/>
  <c r="AB47" i="17" s="1"/>
  <c r="AA48" i="17" s="1"/>
  <c r="AB48" i="17" s="1"/>
  <c r="AA49" i="17" s="1"/>
  <c r="AB49" i="17" s="1"/>
  <c r="AA50" i="17" s="1"/>
  <c r="AB50" i="17" s="1"/>
  <c r="L24" i="7"/>
  <c r="S7" i="8"/>
  <c r="U7" i="8" s="1"/>
  <c r="Q7" i="8"/>
  <c r="R7" i="8" s="1"/>
  <c r="V7" i="8" s="1"/>
  <c r="W7" i="8" s="1"/>
  <c r="X7" i="8" s="1"/>
  <c r="K92" i="17"/>
  <c r="L92" i="17" s="1"/>
  <c r="K96" i="17"/>
  <c r="K93" i="17"/>
  <c r="L93" i="17" s="1"/>
  <c r="K94" i="17"/>
  <c r="L94" i="17" s="1"/>
  <c r="K95" i="17"/>
  <c r="K91" i="17"/>
  <c r="K90" i="17"/>
  <c r="L90" i="17" s="1"/>
  <c r="AA20" i="17"/>
  <c r="AB20" i="17" s="1"/>
  <c r="U20" i="17"/>
  <c r="V20" i="17" s="1"/>
  <c r="U21" i="17" s="1"/>
  <c r="V21" i="17" s="1"/>
  <c r="AE18" i="17"/>
  <c r="AF18" i="17" s="1"/>
  <c r="Q18" i="8"/>
  <c r="R18" i="8" s="1"/>
  <c r="V18" i="8" s="1"/>
  <c r="W18" i="8" s="1"/>
  <c r="X18" i="8" s="1"/>
  <c r="Y18" i="8" s="1"/>
  <c r="X21" i="17"/>
  <c r="Y21" i="17" s="1"/>
  <c r="X22" i="17" s="1"/>
  <c r="Y22" i="17" s="1"/>
  <c r="I98" i="17"/>
  <c r="J97" i="17"/>
  <c r="K97" i="17" s="1"/>
  <c r="U50" i="17"/>
  <c r="V50" i="17" s="1"/>
  <c r="X50" i="17"/>
  <c r="Y50" i="17" s="1"/>
  <c r="I52" i="17"/>
  <c r="K12" i="17"/>
  <c r="P12" i="17" s="1"/>
  <c r="I31" i="17"/>
  <c r="H46" i="8"/>
  <c r="I46" i="8" s="1"/>
  <c r="J46" i="8" s="1"/>
  <c r="H49" i="8"/>
  <c r="I49" i="8" s="1"/>
  <c r="H47" i="8"/>
  <c r="I47" i="8" s="1"/>
  <c r="J47" i="8" s="1"/>
  <c r="H48" i="8"/>
  <c r="I48" i="8" s="1"/>
  <c r="J48" i="8" s="1"/>
  <c r="H45" i="8"/>
  <c r="I45" i="8" s="1"/>
  <c r="J45" i="8" s="1"/>
  <c r="H20" i="8"/>
  <c r="I20" i="8" s="1"/>
  <c r="J20" i="8" s="1"/>
  <c r="H24" i="8"/>
  <c r="I24" i="8" s="1"/>
  <c r="H9" i="8"/>
  <c r="I9" i="8" s="1"/>
  <c r="J9" i="8" s="1"/>
  <c r="H8" i="8"/>
  <c r="I8" i="8" s="1"/>
  <c r="J8" i="8" s="1"/>
  <c r="H26" i="8"/>
  <c r="H11" i="8"/>
  <c r="I11" i="8" s="1"/>
  <c r="J11" i="8" s="1"/>
  <c r="H23" i="8"/>
  <c r="I23" i="8" s="1"/>
  <c r="H19" i="8"/>
  <c r="I19" i="8" s="1"/>
  <c r="J19" i="8" s="1"/>
  <c r="H21" i="8"/>
  <c r="I21" i="8" s="1"/>
  <c r="J21" i="8" s="1"/>
  <c r="H25" i="8"/>
  <c r="I25" i="8" s="1"/>
  <c r="H10" i="8"/>
  <c r="I10" i="8" s="1"/>
  <c r="J10" i="8" s="1"/>
  <c r="H22" i="8"/>
  <c r="I22" i="8" s="1"/>
  <c r="J22" i="8" s="1"/>
  <c r="H12" i="8"/>
  <c r="I91" i="8"/>
  <c r="J91" i="8" s="1"/>
  <c r="L91" i="8" s="1"/>
  <c r="I93" i="8"/>
  <c r="J93" i="8" s="1"/>
  <c r="I92" i="8"/>
  <c r="J92" i="8" s="1"/>
  <c r="V44" i="8"/>
  <c r="W44" i="8" s="1"/>
  <c r="X44" i="8" s="1"/>
  <c r="Y44" i="8" s="1"/>
  <c r="S45" i="8"/>
  <c r="S44" i="8"/>
  <c r="U44" i="8" s="1"/>
  <c r="S18" i="8"/>
  <c r="U18" i="8" s="1"/>
  <c r="S19" i="8"/>
  <c r="S8" i="8"/>
  <c r="G50" i="8"/>
  <c r="H50" i="8" s="1"/>
  <c r="G27" i="8"/>
  <c r="H27" i="8" s="1"/>
  <c r="H94" i="8"/>
  <c r="I94" i="8" s="1"/>
  <c r="J94" i="8" s="1"/>
  <c r="E9" i="5"/>
  <c r="T8" i="8"/>
  <c r="D23" i="7"/>
  <c r="G22" i="7"/>
  <c r="J22" i="7" s="1"/>
  <c r="K22" i="7" s="1"/>
  <c r="L95" i="19" s="1"/>
  <c r="K11" i="17" l="1"/>
  <c r="P11" i="17" s="1"/>
  <c r="K46" i="17"/>
  <c r="K25" i="17"/>
  <c r="P25" i="17" s="1"/>
  <c r="K23" i="17"/>
  <c r="P23" i="17" s="1"/>
  <c r="K50" i="17"/>
  <c r="P50" i="17" s="1"/>
  <c r="N92" i="19"/>
  <c r="N93" i="19"/>
  <c r="N91" i="19"/>
  <c r="L95" i="17"/>
  <c r="N95" i="19"/>
  <c r="K28" i="17"/>
  <c r="K8" i="17"/>
  <c r="P8" i="17" s="1"/>
  <c r="K10" i="17"/>
  <c r="P10" i="17" s="1"/>
  <c r="K19" i="17"/>
  <c r="P19" i="17" s="1"/>
  <c r="K49" i="17"/>
  <c r="P49" i="17" s="1"/>
  <c r="K45" i="17"/>
  <c r="K30" i="17"/>
  <c r="K22" i="17"/>
  <c r="P22" i="17" s="1"/>
  <c r="K9" i="17"/>
  <c r="P9" i="17" s="1"/>
  <c r="K21" i="17"/>
  <c r="P21" i="17" s="1"/>
  <c r="K24" i="17"/>
  <c r="P24" i="17" s="1"/>
  <c r="K48" i="17"/>
  <c r="P48" i="17" s="1"/>
  <c r="K29" i="17"/>
  <c r="K27" i="17"/>
  <c r="K26" i="17"/>
  <c r="K20" i="17"/>
  <c r="P20" i="17" s="1"/>
  <c r="K51" i="17"/>
  <c r="P51" i="17" s="1"/>
  <c r="N94" i="19"/>
  <c r="J8" i="17"/>
  <c r="L8" i="17" s="1"/>
  <c r="J26" i="17"/>
  <c r="J48" i="17"/>
  <c r="L48" i="17" s="1"/>
  <c r="J28" i="17"/>
  <c r="J46" i="17"/>
  <c r="L46" i="17" s="1"/>
  <c r="J11" i="17"/>
  <c r="L11" i="17" s="1"/>
  <c r="R11" i="17" s="1"/>
  <c r="S11" i="17" s="1"/>
  <c r="AC11" i="17" s="1"/>
  <c r="AD11" i="17" s="1"/>
  <c r="AE11" i="17" s="1"/>
  <c r="AF11" i="17" s="1"/>
  <c r="K34" i="19"/>
  <c r="K82" i="19"/>
  <c r="K56" i="19"/>
  <c r="K33" i="19"/>
  <c r="K83" i="19"/>
  <c r="K74" i="19"/>
  <c r="K20" i="19"/>
  <c r="P20" i="19" s="1"/>
  <c r="K11" i="19"/>
  <c r="P11" i="19" s="1"/>
  <c r="K28" i="19"/>
  <c r="J10" i="17"/>
  <c r="L10" i="17" s="1"/>
  <c r="J24" i="17"/>
  <c r="K47" i="19"/>
  <c r="P47" i="19" s="1"/>
  <c r="K72" i="19"/>
  <c r="K71" i="19"/>
  <c r="K60" i="19"/>
  <c r="K12" i="19"/>
  <c r="P12" i="19" s="1"/>
  <c r="K22" i="19"/>
  <c r="P22" i="19" s="1"/>
  <c r="K75" i="19"/>
  <c r="K51" i="19"/>
  <c r="P51" i="19" s="1"/>
  <c r="K23" i="19"/>
  <c r="P23" i="19" s="1"/>
  <c r="J27" i="17"/>
  <c r="J25" i="17"/>
  <c r="J50" i="17"/>
  <c r="K19" i="19"/>
  <c r="P19" i="19" s="1"/>
  <c r="K84" i="19"/>
  <c r="K80" i="19"/>
  <c r="K26" i="19"/>
  <c r="K8" i="19"/>
  <c r="P8" i="19" s="1"/>
  <c r="K32" i="19"/>
  <c r="K24" i="19"/>
  <c r="P24" i="19" s="1"/>
  <c r="K55" i="19"/>
  <c r="K27" i="19"/>
  <c r="K21" i="19"/>
  <c r="P21" i="19" s="1"/>
  <c r="K61" i="19"/>
  <c r="K78" i="19"/>
  <c r="K64" i="19"/>
  <c r="K66" i="19"/>
  <c r="K73" i="19"/>
  <c r="K52" i="19"/>
  <c r="K46" i="19"/>
  <c r="P46" i="19" s="1"/>
  <c r="K70" i="19"/>
  <c r="K81" i="19"/>
  <c r="K62" i="19"/>
  <c r="K59" i="19"/>
  <c r="K67" i="19"/>
  <c r="K54" i="19"/>
  <c r="K48" i="19"/>
  <c r="P48" i="19" s="1"/>
  <c r="K50" i="19"/>
  <c r="P50" i="19" s="1"/>
  <c r="K63" i="19"/>
  <c r="K53" i="19"/>
  <c r="K77" i="19"/>
  <c r="K69" i="19"/>
  <c r="K76" i="19"/>
  <c r="K79" i="19"/>
  <c r="K25" i="19"/>
  <c r="P25" i="19" s="1"/>
  <c r="K29" i="19"/>
  <c r="K9" i="19"/>
  <c r="P9" i="19" s="1"/>
  <c r="K10" i="19"/>
  <c r="P10" i="19" s="1"/>
  <c r="K37" i="19"/>
  <c r="K49" i="19"/>
  <c r="P49" i="19" s="1"/>
  <c r="K65" i="19"/>
  <c r="K31" i="19"/>
  <c r="K30" i="19"/>
  <c r="K36" i="19"/>
  <c r="K45" i="19"/>
  <c r="P45" i="19" s="1"/>
  <c r="K57" i="19"/>
  <c r="K58" i="19"/>
  <c r="K68" i="19"/>
  <c r="K35" i="19"/>
  <c r="J30" i="17"/>
  <c r="J9" i="17"/>
  <c r="L9" i="17" s="1"/>
  <c r="J12" i="17"/>
  <c r="L12" i="17" s="1"/>
  <c r="J20" i="17"/>
  <c r="L20" i="17" s="1"/>
  <c r="J29" i="17"/>
  <c r="J47" i="17"/>
  <c r="L47" i="17" s="1"/>
  <c r="R47" i="17" s="1"/>
  <c r="E5" i="21" s="1"/>
  <c r="J23" i="17"/>
  <c r="L23" i="17" s="1"/>
  <c r="J22" i="17"/>
  <c r="L22" i="17" s="1"/>
  <c r="J21" i="17"/>
  <c r="L21" i="17" s="1"/>
  <c r="R21" i="17" s="1"/>
  <c r="S21" i="17" s="1"/>
  <c r="J19" i="17"/>
  <c r="L19" i="17" s="1"/>
  <c r="J51" i="17"/>
  <c r="J49" i="17"/>
  <c r="L49" i="17" s="1"/>
  <c r="J78" i="19"/>
  <c r="J82" i="19"/>
  <c r="J71" i="19"/>
  <c r="J72" i="19"/>
  <c r="J60" i="19"/>
  <c r="J38" i="19"/>
  <c r="J54" i="19"/>
  <c r="J46" i="19"/>
  <c r="L46" i="19" s="1"/>
  <c r="J66" i="19"/>
  <c r="J47" i="19"/>
  <c r="L47" i="19" s="1"/>
  <c r="J61" i="19"/>
  <c r="J28" i="19"/>
  <c r="J20" i="19"/>
  <c r="L20" i="19" s="1"/>
  <c r="J33" i="19"/>
  <c r="J21" i="19"/>
  <c r="L21" i="19" s="1"/>
  <c r="J12" i="19"/>
  <c r="L12" i="19" s="1"/>
  <c r="J81" i="19"/>
  <c r="J84" i="19"/>
  <c r="J73" i="19"/>
  <c r="J79" i="19"/>
  <c r="J62" i="19"/>
  <c r="J32" i="19"/>
  <c r="J65" i="19"/>
  <c r="J70" i="19"/>
  <c r="J22" i="19"/>
  <c r="L22" i="19" s="1"/>
  <c r="J23" i="19"/>
  <c r="L23" i="19" s="1"/>
  <c r="J76" i="19"/>
  <c r="J80" i="19"/>
  <c r="J69" i="19"/>
  <c r="J68" i="19"/>
  <c r="J58" i="19"/>
  <c r="J36" i="19"/>
  <c r="J52" i="19"/>
  <c r="J45" i="19"/>
  <c r="L45" i="19" s="1"/>
  <c r="J63" i="19"/>
  <c r="J37" i="19"/>
  <c r="J57" i="19"/>
  <c r="J26" i="19"/>
  <c r="J19" i="19"/>
  <c r="L19" i="19" s="1"/>
  <c r="R19" i="19" s="1"/>
  <c r="S19" i="19" s="1"/>
  <c r="AC19" i="19" s="1"/>
  <c r="AD19" i="19" s="1"/>
  <c r="AE19" i="19" s="1"/>
  <c r="AF19" i="19" s="1"/>
  <c r="J27" i="19"/>
  <c r="J35" i="19"/>
  <c r="J10" i="19"/>
  <c r="L10" i="19" s="1"/>
  <c r="J55" i="19"/>
  <c r="J48" i="19"/>
  <c r="L48" i="19" s="1"/>
  <c r="J51" i="19"/>
  <c r="J49" i="19"/>
  <c r="L49" i="19" s="1"/>
  <c r="J9" i="19"/>
  <c r="L9" i="19" s="1"/>
  <c r="J29" i="19"/>
  <c r="J75" i="19"/>
  <c r="J77" i="19"/>
  <c r="J67" i="19"/>
  <c r="J64" i="19"/>
  <c r="J56" i="19"/>
  <c r="J34" i="19"/>
  <c r="J50" i="19"/>
  <c r="J74" i="19"/>
  <c r="J59" i="19"/>
  <c r="J83" i="19"/>
  <c r="J53" i="19"/>
  <c r="J24" i="19"/>
  <c r="J11" i="19"/>
  <c r="L11" i="19" s="1"/>
  <c r="J25" i="19"/>
  <c r="J30" i="19"/>
  <c r="J31" i="19"/>
  <c r="J8" i="19"/>
  <c r="L8" i="19" s="1"/>
  <c r="Y27" i="19"/>
  <c r="X28" i="19" s="1"/>
  <c r="V27" i="19"/>
  <c r="U28" i="19" s="1"/>
  <c r="U53" i="19"/>
  <c r="V53" i="19"/>
  <c r="X50" i="19"/>
  <c r="AA51" i="19"/>
  <c r="AB51" i="19"/>
  <c r="J99" i="19"/>
  <c r="K99" i="19" s="1"/>
  <c r="I100" i="19"/>
  <c r="P46" i="17"/>
  <c r="O11" i="8"/>
  <c r="Q11" i="8" s="1"/>
  <c r="R11" i="8" s="1"/>
  <c r="P45" i="17"/>
  <c r="R45" i="17" s="1"/>
  <c r="E3" i="21" s="1"/>
  <c r="L25" i="7"/>
  <c r="AA21" i="17"/>
  <c r="AB21" i="17" s="1"/>
  <c r="AA22" i="17" s="1"/>
  <c r="AB22" i="17" s="1"/>
  <c r="AA23" i="17" s="1"/>
  <c r="AB23" i="17" s="1"/>
  <c r="AA24" i="17" s="1"/>
  <c r="AB24" i="17" s="1"/>
  <c r="X23" i="17"/>
  <c r="Y23" i="17" s="1"/>
  <c r="U22" i="17"/>
  <c r="V22" i="17" s="1"/>
  <c r="L91" i="17"/>
  <c r="N93" i="17" s="1"/>
  <c r="J98" i="17"/>
  <c r="K98" i="17" s="1"/>
  <c r="I99" i="17"/>
  <c r="X51" i="17"/>
  <c r="Y51" i="17" s="1"/>
  <c r="U51" i="17"/>
  <c r="V51" i="17" s="1"/>
  <c r="AA51" i="17"/>
  <c r="AB51" i="17" s="1"/>
  <c r="I53" i="17"/>
  <c r="K52" i="17"/>
  <c r="J52" i="17"/>
  <c r="O8" i="8"/>
  <c r="Q8" i="8" s="1"/>
  <c r="R8" i="8" s="1"/>
  <c r="V8" i="8" s="1"/>
  <c r="W8" i="8" s="1"/>
  <c r="X8" i="8" s="1"/>
  <c r="I32" i="17"/>
  <c r="J31" i="17"/>
  <c r="K31" i="17"/>
  <c r="L93" i="8"/>
  <c r="L92" i="8"/>
  <c r="O24" i="8"/>
  <c r="O10" i="8"/>
  <c r="O9" i="8"/>
  <c r="P47" i="8"/>
  <c r="Q47" i="8" s="1"/>
  <c r="D5" i="21" s="1"/>
  <c r="J23" i="8"/>
  <c r="Q23" i="8" s="1"/>
  <c r="AA12" i="17"/>
  <c r="AB12" i="17" s="1"/>
  <c r="J49" i="8"/>
  <c r="Q49" i="8" s="1"/>
  <c r="D7" i="21" s="1"/>
  <c r="U8" i="8"/>
  <c r="T9" i="8" s="1"/>
  <c r="T45" i="8"/>
  <c r="U45" i="8" s="1"/>
  <c r="T46" i="8" s="1"/>
  <c r="U46" i="8" s="1"/>
  <c r="T47" i="8" s="1"/>
  <c r="U47" i="8" s="1"/>
  <c r="T48" i="8" s="1"/>
  <c r="U48" i="8" s="1"/>
  <c r="T49" i="8" s="1"/>
  <c r="U49" i="8" s="1"/>
  <c r="T50" i="8" s="1"/>
  <c r="U50" i="8" s="1"/>
  <c r="T19" i="8"/>
  <c r="U19" i="8" s="1"/>
  <c r="P46" i="8"/>
  <c r="Q46" i="8" s="1"/>
  <c r="D4" i="21" s="1"/>
  <c r="L94" i="8"/>
  <c r="P45" i="8"/>
  <c r="Q45" i="8" s="1"/>
  <c r="D3" i="21" s="1"/>
  <c r="G51" i="8"/>
  <c r="H51" i="8" s="1"/>
  <c r="P48" i="8"/>
  <c r="Q48" i="8" s="1"/>
  <c r="D6" i="21" s="1"/>
  <c r="O25" i="8"/>
  <c r="O22" i="8"/>
  <c r="O20" i="8"/>
  <c r="Q20" i="8" s="1"/>
  <c r="R20" i="8" s="1"/>
  <c r="O21" i="8"/>
  <c r="Q21" i="8" s="1"/>
  <c r="R21" i="8" s="1"/>
  <c r="O19" i="8"/>
  <c r="Q19" i="8" s="1"/>
  <c r="R19" i="8" s="1"/>
  <c r="I26" i="8"/>
  <c r="G28" i="8"/>
  <c r="H28" i="8" s="1"/>
  <c r="H95" i="8"/>
  <c r="I95" i="8" s="1"/>
  <c r="J95" i="8" s="1"/>
  <c r="I12" i="8"/>
  <c r="J12" i="8" s="1"/>
  <c r="Y7" i="8"/>
  <c r="D10" i="5"/>
  <c r="D24" i="7"/>
  <c r="G23" i="7"/>
  <c r="J23" i="7" s="1"/>
  <c r="K23" i="7" s="1"/>
  <c r="J24" i="8" s="1"/>
  <c r="L3" i="21" l="1"/>
  <c r="L7" i="21"/>
  <c r="L4" i="21"/>
  <c r="L5" i="21"/>
  <c r="L6" i="21"/>
  <c r="M3" i="21"/>
  <c r="R23" i="17"/>
  <c r="S23" i="17" s="1"/>
  <c r="R8" i="17"/>
  <c r="S8" i="17" s="1"/>
  <c r="AC8" i="17" s="1"/>
  <c r="AD8" i="17" s="1"/>
  <c r="AE8" i="17" s="1"/>
  <c r="AF8" i="17" s="1"/>
  <c r="R10" i="17"/>
  <c r="S10" i="17" s="1"/>
  <c r="AC10" i="17" s="1"/>
  <c r="AD10" i="17" s="1"/>
  <c r="AE10" i="17" s="1"/>
  <c r="AF10" i="17" s="1"/>
  <c r="R45" i="8"/>
  <c r="H3" i="21"/>
  <c r="R47" i="8"/>
  <c r="V47" i="8" s="1"/>
  <c r="W47" i="8" s="1"/>
  <c r="X47" i="8" s="1"/>
  <c r="Y47" i="8" s="1"/>
  <c r="R19" i="17"/>
  <c r="S19" i="17" s="1"/>
  <c r="AC19" i="17" s="1"/>
  <c r="AD19" i="17" s="1"/>
  <c r="R9" i="17"/>
  <c r="S9" i="17" s="1"/>
  <c r="AC9" i="17" s="1"/>
  <c r="AD9" i="17" s="1"/>
  <c r="AE9" i="17" s="1"/>
  <c r="AF9" i="17" s="1"/>
  <c r="R48" i="8"/>
  <c r="V48" i="8" s="1"/>
  <c r="W48" i="8" s="1"/>
  <c r="X48" i="8" s="1"/>
  <c r="R46" i="8"/>
  <c r="S45" i="17"/>
  <c r="AC45" i="17" s="1"/>
  <c r="AD45" i="17" s="1"/>
  <c r="AE45" i="17" s="1"/>
  <c r="AF45" i="17" s="1"/>
  <c r="I2" i="21"/>
  <c r="I3" i="21" s="1"/>
  <c r="S47" i="17"/>
  <c r="AC47" i="17" s="1"/>
  <c r="AD47" i="17" s="1"/>
  <c r="AE47" i="17" s="1"/>
  <c r="AF47" i="17" s="1"/>
  <c r="L50" i="19"/>
  <c r="R50" i="19" s="1"/>
  <c r="F8" i="21" s="1"/>
  <c r="L50" i="17"/>
  <c r="R50" i="17" s="1"/>
  <c r="E8" i="21" s="1"/>
  <c r="L24" i="17"/>
  <c r="R24" i="17" s="1"/>
  <c r="R48" i="17"/>
  <c r="E6" i="21" s="1"/>
  <c r="L96" i="17"/>
  <c r="L96" i="19"/>
  <c r="L24" i="19"/>
  <c r="R24" i="19" s="1"/>
  <c r="R22" i="17"/>
  <c r="S22" i="17" s="1"/>
  <c r="AC22" i="17" s="1"/>
  <c r="AD22" i="17" s="1"/>
  <c r="AE22" i="17" s="1"/>
  <c r="AF22" i="17" s="1"/>
  <c r="R20" i="17"/>
  <c r="S20" i="17" s="1"/>
  <c r="AC20" i="17" s="1"/>
  <c r="AD20" i="17" s="1"/>
  <c r="AE20" i="17" s="1"/>
  <c r="AF20" i="17" s="1"/>
  <c r="R12" i="19"/>
  <c r="S12" i="19" s="1"/>
  <c r="AC12" i="19" s="1"/>
  <c r="AD12" i="19" s="1"/>
  <c r="AE12" i="19" s="1"/>
  <c r="R46" i="19"/>
  <c r="F4" i="21" s="1"/>
  <c r="R21" i="19"/>
  <c r="S21" i="19" s="1"/>
  <c r="AC21" i="19" s="1"/>
  <c r="AD21" i="19" s="1"/>
  <c r="AE21" i="19" s="1"/>
  <c r="AF21" i="19" s="1"/>
  <c r="R46" i="17"/>
  <c r="E4" i="21" s="1"/>
  <c r="M5" i="21" s="1"/>
  <c r="R9" i="19"/>
  <c r="S9" i="19" s="1"/>
  <c r="AC9" i="19" s="1"/>
  <c r="AD9" i="19" s="1"/>
  <c r="AE9" i="19" s="1"/>
  <c r="AF9" i="19" s="1"/>
  <c r="R20" i="19"/>
  <c r="S20" i="19" s="1"/>
  <c r="AC20" i="19" s="1"/>
  <c r="AD20" i="19" s="1"/>
  <c r="AE20" i="19" s="1"/>
  <c r="AF20" i="19" s="1"/>
  <c r="R48" i="19"/>
  <c r="F6" i="21" s="1"/>
  <c r="R47" i="19"/>
  <c r="F5" i="21" s="1"/>
  <c r="R49" i="17"/>
  <c r="E7" i="21" s="1"/>
  <c r="R49" i="19"/>
  <c r="F7" i="21" s="1"/>
  <c r="R45" i="19"/>
  <c r="F3" i="21" s="1"/>
  <c r="R23" i="19"/>
  <c r="S23" i="19" s="1"/>
  <c r="AC23" i="19" s="1"/>
  <c r="AD23" i="19" s="1"/>
  <c r="AE23" i="19" s="1"/>
  <c r="AF23" i="19" s="1"/>
  <c r="R8" i="19"/>
  <c r="S8" i="19" s="1"/>
  <c r="AC8" i="19" s="1"/>
  <c r="AD8" i="19" s="1"/>
  <c r="AE8" i="19" s="1"/>
  <c r="AF8" i="19" s="1"/>
  <c r="R11" i="19"/>
  <c r="S11" i="19" s="1"/>
  <c r="AC11" i="19" s="1"/>
  <c r="AD11" i="19" s="1"/>
  <c r="AE11" i="19" s="1"/>
  <c r="AF11" i="19" s="1"/>
  <c r="R22" i="19"/>
  <c r="S22" i="19" s="1"/>
  <c r="AC22" i="19" s="1"/>
  <c r="AD22" i="19" s="1"/>
  <c r="AE22" i="19" s="1"/>
  <c r="AF22" i="19" s="1"/>
  <c r="R10" i="19"/>
  <c r="S10" i="19" s="1"/>
  <c r="AC10" i="19" s="1"/>
  <c r="AD10" i="19" s="1"/>
  <c r="AE10" i="19" s="1"/>
  <c r="AF10" i="19" s="1"/>
  <c r="R49" i="8"/>
  <c r="V49" i="8" s="1"/>
  <c r="W49" i="8" s="1"/>
  <c r="X49" i="8" s="1"/>
  <c r="Y49" i="8" s="1"/>
  <c r="R23" i="8"/>
  <c r="N96" i="17"/>
  <c r="N94" i="17"/>
  <c r="Y50" i="19"/>
  <c r="X51" i="19" s="1"/>
  <c r="P52" i="19"/>
  <c r="P26" i="19"/>
  <c r="N92" i="17"/>
  <c r="N95" i="17"/>
  <c r="N91" i="17"/>
  <c r="V28" i="19"/>
  <c r="U29" i="19" s="1"/>
  <c r="Y28" i="19"/>
  <c r="X29" i="19" s="1"/>
  <c r="AB25" i="19"/>
  <c r="AA26" i="19" s="1"/>
  <c r="I101" i="19"/>
  <c r="J100" i="19"/>
  <c r="K100" i="19" s="1"/>
  <c r="AA52" i="19"/>
  <c r="U54" i="19"/>
  <c r="V54" i="19" s="1"/>
  <c r="L26" i="7"/>
  <c r="P52" i="17"/>
  <c r="P26" i="17"/>
  <c r="U23" i="17"/>
  <c r="V23" i="17" s="1"/>
  <c r="U24" i="17" s="1"/>
  <c r="V24" i="17" s="1"/>
  <c r="X24" i="17"/>
  <c r="Y24" i="17" s="1"/>
  <c r="X25" i="17" s="1"/>
  <c r="Y25" i="17" s="1"/>
  <c r="X26" i="17" s="1"/>
  <c r="Y26" i="17" s="1"/>
  <c r="AA25" i="17"/>
  <c r="AB25" i="17" s="1"/>
  <c r="I100" i="17"/>
  <c r="J99" i="17"/>
  <c r="U52" i="17"/>
  <c r="V52" i="17" s="1"/>
  <c r="AA52" i="17"/>
  <c r="AB52" i="17" s="1"/>
  <c r="X52" i="17"/>
  <c r="Y52" i="17" s="1"/>
  <c r="J53" i="17"/>
  <c r="K53" i="17"/>
  <c r="I54" i="17"/>
  <c r="Q22" i="8"/>
  <c r="R22" i="8" s="1"/>
  <c r="Q9" i="8"/>
  <c r="R9" i="8" s="1"/>
  <c r="V9" i="8" s="1"/>
  <c r="W9" i="8" s="1"/>
  <c r="X9" i="8" s="1"/>
  <c r="Y9" i="8" s="1"/>
  <c r="Q10" i="8"/>
  <c r="R10" i="8" s="1"/>
  <c r="AC21" i="17"/>
  <c r="AD21" i="17" s="1"/>
  <c r="AE21" i="17" s="1"/>
  <c r="AF21" i="17" s="1"/>
  <c r="Q24" i="8"/>
  <c r="J32" i="17"/>
  <c r="K32" i="17"/>
  <c r="I33" i="17"/>
  <c r="T20" i="8"/>
  <c r="U20" i="8" s="1"/>
  <c r="V46" i="8"/>
  <c r="W46" i="8" s="1"/>
  <c r="X46" i="8" s="1"/>
  <c r="Y46" i="8" s="1"/>
  <c r="L95" i="8"/>
  <c r="V19" i="8"/>
  <c r="W19" i="8" s="1"/>
  <c r="X19" i="8" s="1"/>
  <c r="Y19" i="8" s="1"/>
  <c r="T51" i="8"/>
  <c r="U51" i="8" s="1"/>
  <c r="I50" i="8"/>
  <c r="J50" i="8" s="1"/>
  <c r="G52" i="8"/>
  <c r="H52" i="8" s="1"/>
  <c r="G29" i="8"/>
  <c r="H29" i="8" s="1"/>
  <c r="I27" i="8"/>
  <c r="O26" i="8"/>
  <c r="H96" i="8"/>
  <c r="I96" i="8" s="1"/>
  <c r="J96" i="8" s="1"/>
  <c r="L96" i="8" s="1"/>
  <c r="U9" i="8"/>
  <c r="T10" i="8" s="1"/>
  <c r="Y8" i="8"/>
  <c r="D25" i="7"/>
  <c r="G24" i="7"/>
  <c r="J24" i="7" s="1"/>
  <c r="K24" i="7" s="1"/>
  <c r="L51" i="19" s="1"/>
  <c r="R51" i="19" s="1"/>
  <c r="F9" i="21" s="1"/>
  <c r="E10" i="5"/>
  <c r="H5" i="5"/>
  <c r="D11" i="5"/>
  <c r="N3" i="21" l="1"/>
  <c r="N5" i="21"/>
  <c r="N9" i="21"/>
  <c r="N7" i="21"/>
  <c r="N8" i="21"/>
  <c r="N6" i="21"/>
  <c r="N4" i="21"/>
  <c r="M4" i="21"/>
  <c r="M6" i="21"/>
  <c r="M7" i="21"/>
  <c r="M8" i="21"/>
  <c r="H4" i="21"/>
  <c r="H5" i="21" s="1"/>
  <c r="H6" i="21" s="1"/>
  <c r="H7" i="21" s="1"/>
  <c r="I4" i="21"/>
  <c r="I5" i="21" s="1"/>
  <c r="I6" i="21" s="1"/>
  <c r="I7" i="21" s="1"/>
  <c r="I8" i="21" s="1"/>
  <c r="S47" i="19"/>
  <c r="AC47" i="19" s="1"/>
  <c r="AD47" i="19" s="1"/>
  <c r="AE47" i="19" s="1"/>
  <c r="AF47" i="19" s="1"/>
  <c r="S45" i="19"/>
  <c r="AC45" i="19" s="1"/>
  <c r="AD45" i="19" s="1"/>
  <c r="AE45" i="19" s="1"/>
  <c r="AF45" i="19" s="1"/>
  <c r="J2" i="21"/>
  <c r="J3" i="21" s="1"/>
  <c r="J4" i="21" s="1"/>
  <c r="J5" i="21" s="1"/>
  <c r="J6" i="21" s="1"/>
  <c r="J7" i="21" s="1"/>
  <c r="J8" i="21" s="1"/>
  <c r="J9" i="21" s="1"/>
  <c r="S48" i="19"/>
  <c r="AC48" i="19" s="1"/>
  <c r="AD48" i="19" s="1"/>
  <c r="AE48" i="19" s="1"/>
  <c r="AF48" i="19" s="1"/>
  <c r="S49" i="19"/>
  <c r="AC49" i="19" s="1"/>
  <c r="AD49" i="19" s="1"/>
  <c r="AE49" i="19" s="1"/>
  <c r="AF49" i="19" s="1"/>
  <c r="S46" i="19"/>
  <c r="AC46" i="19" s="1"/>
  <c r="AD46" i="19" s="1"/>
  <c r="AE46" i="19" s="1"/>
  <c r="AF46" i="19" s="1"/>
  <c r="S49" i="17"/>
  <c r="AC49" i="17" s="1"/>
  <c r="AD49" i="17" s="1"/>
  <c r="AE49" i="17" s="1"/>
  <c r="AF49" i="17" s="1"/>
  <c r="S48" i="17"/>
  <c r="AC48" i="17" s="1"/>
  <c r="AD48" i="17" s="1"/>
  <c r="AE48" i="17" s="1"/>
  <c r="AF48" i="17" s="1"/>
  <c r="S46" i="17"/>
  <c r="AC46" i="17" s="1"/>
  <c r="AD46" i="17" s="1"/>
  <c r="AE46" i="17" s="1"/>
  <c r="AF46" i="17" s="1"/>
  <c r="S24" i="17"/>
  <c r="AC24" i="17" s="1"/>
  <c r="AD24" i="17" s="1"/>
  <c r="AE24" i="17" s="1"/>
  <c r="AF24" i="17" s="1"/>
  <c r="L25" i="17"/>
  <c r="R25" i="17" s="1"/>
  <c r="J25" i="8"/>
  <c r="Q25" i="8" s="1"/>
  <c r="L97" i="19"/>
  <c r="N97" i="19" s="1"/>
  <c r="L97" i="17"/>
  <c r="N96" i="19"/>
  <c r="L25" i="19"/>
  <c r="R25" i="19" s="1"/>
  <c r="L51" i="17"/>
  <c r="R51" i="17" s="1"/>
  <c r="E9" i="21" s="1"/>
  <c r="R24" i="8"/>
  <c r="S50" i="17"/>
  <c r="AC50" i="17" s="1"/>
  <c r="AD50" i="17" s="1"/>
  <c r="AE50" i="17" s="1"/>
  <c r="AF50" i="17" s="1"/>
  <c r="E11" i="5"/>
  <c r="S50" i="19"/>
  <c r="AC50" i="19" s="1"/>
  <c r="AD50" i="19" s="1"/>
  <c r="AE50" i="19" s="1"/>
  <c r="AF50" i="19" s="1"/>
  <c r="S24" i="19"/>
  <c r="AC24" i="19" s="1"/>
  <c r="AD24" i="19" s="1"/>
  <c r="AE24" i="19" s="1"/>
  <c r="AF24" i="19" s="1"/>
  <c r="AF12" i="19"/>
  <c r="AI4" i="19"/>
  <c r="P53" i="19"/>
  <c r="P27" i="19"/>
  <c r="Y51" i="19"/>
  <c r="X52" i="19" s="1"/>
  <c r="Y52" i="19" s="1"/>
  <c r="U55" i="19"/>
  <c r="V55" i="19" s="1"/>
  <c r="V29" i="19"/>
  <c r="U30" i="19" s="1"/>
  <c r="I102" i="19"/>
  <c r="J101" i="19"/>
  <c r="K101" i="19" s="1"/>
  <c r="AB52" i="19"/>
  <c r="Y29" i="19"/>
  <c r="X30" i="19" s="1"/>
  <c r="K99" i="17"/>
  <c r="AC23" i="17"/>
  <c r="AD23" i="17" s="1"/>
  <c r="AE23" i="17" s="1"/>
  <c r="AF23" i="17" s="1"/>
  <c r="L27" i="7"/>
  <c r="P27" i="17"/>
  <c r="P53" i="17"/>
  <c r="U25" i="17"/>
  <c r="V25" i="17" s="1"/>
  <c r="AA26" i="17"/>
  <c r="AB26" i="17" s="1"/>
  <c r="X27" i="17"/>
  <c r="Y27" i="17" s="1"/>
  <c r="X28" i="17" s="1"/>
  <c r="Y28" i="17" s="1"/>
  <c r="X29" i="17" s="1"/>
  <c r="Y29" i="17" s="1"/>
  <c r="X30" i="17" s="1"/>
  <c r="Y30" i="17" s="1"/>
  <c r="J100" i="17"/>
  <c r="K100" i="17" s="1"/>
  <c r="I101" i="17"/>
  <c r="X53" i="17"/>
  <c r="Y53" i="17" s="1"/>
  <c r="U53" i="17"/>
  <c r="V53" i="17" s="1"/>
  <c r="AA53" i="17"/>
  <c r="K54" i="17"/>
  <c r="J54" i="17"/>
  <c r="I55" i="17"/>
  <c r="AE19" i="17"/>
  <c r="AF19" i="17" s="1"/>
  <c r="V10" i="8"/>
  <c r="W10" i="8" s="1"/>
  <c r="X10" i="8" s="1"/>
  <c r="Y10" i="8" s="1"/>
  <c r="K33" i="17"/>
  <c r="I34" i="17"/>
  <c r="J33" i="17"/>
  <c r="V20" i="8"/>
  <c r="W20" i="8" s="1"/>
  <c r="X20" i="8" s="1"/>
  <c r="Y20" i="8" s="1"/>
  <c r="T21" i="8"/>
  <c r="V21" i="8" s="1"/>
  <c r="W21" i="8" s="1"/>
  <c r="X21" i="8" s="1"/>
  <c r="Y21" i="8" s="1"/>
  <c r="V45" i="8"/>
  <c r="W45" i="8" s="1"/>
  <c r="X45" i="8" s="1"/>
  <c r="Y45" i="8" s="1"/>
  <c r="Y48" i="8"/>
  <c r="T52" i="8"/>
  <c r="U52" i="8" s="1"/>
  <c r="P50" i="8"/>
  <c r="Q50" i="8" s="1"/>
  <c r="D8" i="21" s="1"/>
  <c r="I51" i="8"/>
  <c r="J51" i="8" s="1"/>
  <c r="G53" i="8"/>
  <c r="H53" i="8" s="1"/>
  <c r="G30" i="8"/>
  <c r="H30" i="8" s="1"/>
  <c r="O27" i="8"/>
  <c r="I28" i="8"/>
  <c r="H97" i="8"/>
  <c r="I97" i="8" s="1"/>
  <c r="J97" i="8" s="1"/>
  <c r="U10" i="8"/>
  <c r="I5" i="5"/>
  <c r="H11" i="5" s="1"/>
  <c r="D12" i="5"/>
  <c r="G25" i="7"/>
  <c r="J25" i="7" s="1"/>
  <c r="K25" i="7" s="1"/>
  <c r="D26" i="7"/>
  <c r="L8" i="21" l="1"/>
  <c r="M9" i="21"/>
  <c r="R25" i="8"/>
  <c r="H8" i="21"/>
  <c r="I9" i="21"/>
  <c r="N97" i="17"/>
  <c r="J26" i="8"/>
  <c r="Q26" i="8" s="1"/>
  <c r="L98" i="19"/>
  <c r="L26" i="17"/>
  <c r="R26" i="17" s="1"/>
  <c r="L52" i="17"/>
  <c r="R52" i="17" s="1"/>
  <c r="E10" i="21" s="1"/>
  <c r="L52" i="19"/>
  <c r="R52" i="19" s="1"/>
  <c r="L26" i="19"/>
  <c r="R26" i="19" s="1"/>
  <c r="L98" i="17"/>
  <c r="N98" i="17" s="1"/>
  <c r="AI5" i="19"/>
  <c r="AI6" i="19"/>
  <c r="AI7" i="19" s="1"/>
  <c r="S25" i="17"/>
  <c r="AC25" i="17" s="1"/>
  <c r="AD25" i="17" s="1"/>
  <c r="AE25" i="17" s="1"/>
  <c r="AF25" i="17" s="1"/>
  <c r="S51" i="19"/>
  <c r="AC51" i="19" s="1"/>
  <c r="AD51" i="19" s="1"/>
  <c r="AE51" i="19" s="1"/>
  <c r="AF51" i="19" s="1"/>
  <c r="S51" i="17"/>
  <c r="AC51" i="17" s="1"/>
  <c r="AD51" i="17" s="1"/>
  <c r="AE51" i="17" s="1"/>
  <c r="AF51" i="17" s="1"/>
  <c r="S25" i="19"/>
  <c r="AC25" i="19" s="1"/>
  <c r="AD25" i="19" s="1"/>
  <c r="AE25" i="19" s="1"/>
  <c r="AF25" i="19" s="1"/>
  <c r="P54" i="19"/>
  <c r="P28" i="19"/>
  <c r="Y30" i="19"/>
  <c r="X31" i="19" s="1"/>
  <c r="X53" i="19"/>
  <c r="Y53" i="19" s="1"/>
  <c r="V30" i="19"/>
  <c r="U31" i="19" s="1"/>
  <c r="AB26" i="19"/>
  <c r="AA27" i="19" s="1"/>
  <c r="J102" i="19"/>
  <c r="K102" i="19" s="1"/>
  <c r="I103" i="19"/>
  <c r="U56" i="19"/>
  <c r="V56" i="19" s="1"/>
  <c r="AA53" i="19"/>
  <c r="AB53" i="19" s="1"/>
  <c r="L99" i="17"/>
  <c r="L28" i="7"/>
  <c r="P54" i="17"/>
  <c r="P28" i="17"/>
  <c r="U26" i="17"/>
  <c r="V26" i="17" s="1"/>
  <c r="X31" i="17"/>
  <c r="Y31" i="17" s="1"/>
  <c r="X32" i="17" s="1"/>
  <c r="Y32" i="17" s="1"/>
  <c r="X33" i="17" s="1"/>
  <c r="Y33" i="17" s="1"/>
  <c r="X34" i="17" s="1"/>
  <c r="Y34" i="17" s="1"/>
  <c r="AA27" i="17"/>
  <c r="I102" i="17"/>
  <c r="J101" i="17"/>
  <c r="K101" i="17" s="1"/>
  <c r="U54" i="17"/>
  <c r="V54" i="17" s="1"/>
  <c r="X54" i="17"/>
  <c r="Y54" i="17" s="1"/>
  <c r="K55" i="17"/>
  <c r="J55" i="17"/>
  <c r="I56" i="17"/>
  <c r="AB53" i="17"/>
  <c r="R50" i="8"/>
  <c r="V50" i="8" s="1"/>
  <c r="W50" i="8" s="1"/>
  <c r="X50" i="8" s="1"/>
  <c r="J34" i="17"/>
  <c r="K34" i="17"/>
  <c r="I35" i="17"/>
  <c r="U21" i="8"/>
  <c r="T22" i="8" s="1"/>
  <c r="V22" i="8" s="1"/>
  <c r="W22" i="8" s="1"/>
  <c r="X22" i="8" s="1"/>
  <c r="Y22" i="8" s="1"/>
  <c r="L97" i="8"/>
  <c r="G54" i="8"/>
  <c r="H54" i="8" s="1"/>
  <c r="T53" i="8"/>
  <c r="U53" i="8" s="1"/>
  <c r="I52" i="8"/>
  <c r="J52" i="8" s="1"/>
  <c r="P51" i="8"/>
  <c r="Q51" i="8" s="1"/>
  <c r="D9" i="21" s="1"/>
  <c r="O28" i="8"/>
  <c r="I29" i="8"/>
  <c r="G31" i="8"/>
  <c r="H31" i="8" s="1"/>
  <c r="H98" i="8"/>
  <c r="I98" i="8" s="1"/>
  <c r="J98" i="8" s="1"/>
  <c r="D13" i="5"/>
  <c r="D27" i="7"/>
  <c r="G26" i="7"/>
  <c r="J26" i="7" s="1"/>
  <c r="K26" i="7" s="1"/>
  <c r="E12" i="5"/>
  <c r="T11" i="8"/>
  <c r="V11" i="8" s="1"/>
  <c r="W11" i="8" s="1"/>
  <c r="X11" i="8" s="1"/>
  <c r="L9" i="21" l="1"/>
  <c r="F10" i="21"/>
  <c r="M10" i="21"/>
  <c r="H9" i="21"/>
  <c r="I10" i="21"/>
  <c r="N98" i="19"/>
  <c r="J27" i="8"/>
  <c r="Q27" i="8" s="1"/>
  <c r="L27" i="19"/>
  <c r="R27" i="19" s="1"/>
  <c r="L27" i="17"/>
  <c r="R27" i="17" s="1"/>
  <c r="L99" i="19"/>
  <c r="L53" i="19"/>
  <c r="R53" i="19" s="1"/>
  <c r="L53" i="17"/>
  <c r="R53" i="17" s="1"/>
  <c r="E11" i="21" s="1"/>
  <c r="E13" i="5"/>
  <c r="S52" i="17"/>
  <c r="S52" i="19"/>
  <c r="AC52" i="19" s="1"/>
  <c r="AD52" i="19" s="1"/>
  <c r="AE52" i="19" s="1"/>
  <c r="AF52" i="19" s="1"/>
  <c r="S26" i="19"/>
  <c r="AC26" i="19" s="1"/>
  <c r="AD26" i="19" s="1"/>
  <c r="AE26" i="19" s="1"/>
  <c r="AF26" i="19" s="1"/>
  <c r="S26" i="17"/>
  <c r="AC26" i="17" s="1"/>
  <c r="AD26" i="17" s="1"/>
  <c r="AE26" i="17" s="1"/>
  <c r="AF26" i="17" s="1"/>
  <c r="R26" i="8"/>
  <c r="P29" i="19"/>
  <c r="P55" i="19"/>
  <c r="N99" i="17"/>
  <c r="V31" i="19"/>
  <c r="U32" i="19" s="1"/>
  <c r="X54" i="19"/>
  <c r="Y54" i="19" s="1"/>
  <c r="Y31" i="19"/>
  <c r="X32" i="19" s="1"/>
  <c r="AA54" i="19"/>
  <c r="AB54" i="19" s="1"/>
  <c r="J103" i="19"/>
  <c r="K103" i="19" s="1"/>
  <c r="I104" i="19"/>
  <c r="U57" i="19"/>
  <c r="V57" i="19" s="1"/>
  <c r="L29" i="7"/>
  <c r="P55" i="17"/>
  <c r="P29" i="17"/>
  <c r="U27" i="17"/>
  <c r="AB27" i="17"/>
  <c r="AA28" i="17" s="1"/>
  <c r="I103" i="17"/>
  <c r="J102" i="17"/>
  <c r="X55" i="17"/>
  <c r="Y55" i="17" s="1"/>
  <c r="AA54" i="17"/>
  <c r="I57" i="17"/>
  <c r="K56" i="17"/>
  <c r="J56" i="17"/>
  <c r="U55" i="17"/>
  <c r="V55" i="17" s="1"/>
  <c r="R51" i="8"/>
  <c r="V51" i="8" s="1"/>
  <c r="W51" i="8" s="1"/>
  <c r="X51" i="8" s="1"/>
  <c r="Y51" i="8" s="1"/>
  <c r="J35" i="17"/>
  <c r="I36" i="17"/>
  <c r="I37" i="17" s="1"/>
  <c r="K35" i="17"/>
  <c r="X35" i="17"/>
  <c r="Y35" i="17" s="1"/>
  <c r="U22" i="8"/>
  <c r="T23" i="8" s="1"/>
  <c r="U23" i="8" s="1"/>
  <c r="T24" i="8" s="1"/>
  <c r="V24" i="8" s="1"/>
  <c r="W24" i="8" s="1"/>
  <c r="X24" i="8" s="1"/>
  <c r="Y24" i="8" s="1"/>
  <c r="L98" i="8"/>
  <c r="Y50" i="8"/>
  <c r="P52" i="8"/>
  <c r="Q52" i="8" s="1"/>
  <c r="D10" i="21" s="1"/>
  <c r="I53" i="8"/>
  <c r="J53" i="8" s="1"/>
  <c r="T54" i="8"/>
  <c r="U54" i="8" s="1"/>
  <c r="G55" i="8"/>
  <c r="H55" i="8" s="1"/>
  <c r="O29" i="8"/>
  <c r="I30" i="8"/>
  <c r="G32" i="8"/>
  <c r="H32" i="8" s="1"/>
  <c r="H99" i="8"/>
  <c r="I99" i="8" s="1"/>
  <c r="J99" i="8" s="1"/>
  <c r="U11" i="8"/>
  <c r="T12" i="8" s="1"/>
  <c r="Y11" i="8"/>
  <c r="D14" i="5"/>
  <c r="D28" i="7"/>
  <c r="G27" i="7"/>
  <c r="J27" i="7" s="1"/>
  <c r="K27" i="7" s="1"/>
  <c r="L10" i="21" l="1"/>
  <c r="N10" i="21"/>
  <c r="F11" i="21"/>
  <c r="N11" i="21" s="1"/>
  <c r="J10" i="21"/>
  <c r="M11" i="21"/>
  <c r="R27" i="8"/>
  <c r="H10" i="21"/>
  <c r="I11" i="21"/>
  <c r="J28" i="8"/>
  <c r="Q28" i="8" s="1"/>
  <c r="L28" i="17"/>
  <c r="R28" i="17" s="1"/>
  <c r="L54" i="19"/>
  <c r="R54" i="19" s="1"/>
  <c r="L28" i="19"/>
  <c r="R28" i="19" s="1"/>
  <c r="L100" i="19"/>
  <c r="L100" i="17"/>
  <c r="L54" i="17"/>
  <c r="R54" i="17" s="1"/>
  <c r="E12" i="21" s="1"/>
  <c r="M12" i="21" s="1"/>
  <c r="N99" i="19"/>
  <c r="N100" i="19"/>
  <c r="AC52" i="17"/>
  <c r="AD52" i="17" s="1"/>
  <c r="AE52" i="17" s="1"/>
  <c r="AF52" i="17" s="1"/>
  <c r="S53" i="17"/>
  <c r="AC53" i="17" s="1"/>
  <c r="AD53" i="17" s="1"/>
  <c r="AE53" i="17" s="1"/>
  <c r="AF53" i="17" s="1"/>
  <c r="S27" i="17"/>
  <c r="AC27" i="17" s="1"/>
  <c r="AD27" i="17" s="1"/>
  <c r="AE27" i="17" s="1"/>
  <c r="AF27" i="17" s="1"/>
  <c r="S53" i="19"/>
  <c r="AC53" i="19" s="1"/>
  <c r="AD53" i="19" s="1"/>
  <c r="AE53" i="19" s="1"/>
  <c r="AF53" i="19" s="1"/>
  <c r="S27" i="19"/>
  <c r="AC27" i="19" s="1"/>
  <c r="AD27" i="19" s="1"/>
  <c r="AE27" i="19" s="1"/>
  <c r="AF27" i="19" s="1"/>
  <c r="P56" i="19"/>
  <c r="P30" i="19"/>
  <c r="AB54" i="17"/>
  <c r="X55" i="19"/>
  <c r="Y55" i="19" s="1"/>
  <c r="AA55" i="19"/>
  <c r="AB55" i="19" s="1"/>
  <c r="AB27" i="19"/>
  <c r="AA28" i="19" s="1"/>
  <c r="V32" i="19"/>
  <c r="U33" i="19" s="1"/>
  <c r="Y32" i="19"/>
  <c r="X33" i="19" s="1"/>
  <c r="U58" i="19"/>
  <c r="V58" i="19" s="1"/>
  <c r="I105" i="19"/>
  <c r="J104" i="19"/>
  <c r="K104" i="19" s="1"/>
  <c r="I38" i="17"/>
  <c r="K37" i="17"/>
  <c r="J37" i="17"/>
  <c r="K102" i="17"/>
  <c r="V27" i="17"/>
  <c r="U28" i="17" s="1"/>
  <c r="V28" i="17" s="1"/>
  <c r="U29" i="17" s="1"/>
  <c r="V29" i="17" s="1"/>
  <c r="L30" i="7"/>
  <c r="P30" i="17"/>
  <c r="P56" i="17"/>
  <c r="AB28" i="17"/>
  <c r="AA29" i="17" s="1"/>
  <c r="I104" i="17"/>
  <c r="J103" i="17"/>
  <c r="K103" i="17" s="1"/>
  <c r="X56" i="17"/>
  <c r="Y56" i="17" s="1"/>
  <c r="U56" i="17"/>
  <c r="V56" i="17" s="1"/>
  <c r="AA55" i="17"/>
  <c r="I58" i="17"/>
  <c r="K57" i="17"/>
  <c r="J57" i="17"/>
  <c r="R52" i="8"/>
  <c r="V52" i="8" s="1"/>
  <c r="W52" i="8" s="1"/>
  <c r="X36" i="17"/>
  <c r="Y36" i="17" s="1"/>
  <c r="K36" i="17"/>
  <c r="J36" i="17"/>
  <c r="V23" i="8"/>
  <c r="W23" i="8" s="1"/>
  <c r="X23" i="8" s="1"/>
  <c r="Y23" i="8" s="1"/>
  <c r="U24" i="8"/>
  <c r="T25" i="8" s="1"/>
  <c r="V25" i="8" s="1"/>
  <c r="W25" i="8" s="1"/>
  <c r="X25" i="8" s="1"/>
  <c r="Y25" i="8" s="1"/>
  <c r="L99" i="8"/>
  <c r="T55" i="8"/>
  <c r="U55" i="8" s="1"/>
  <c r="I54" i="8"/>
  <c r="J54" i="8" s="1"/>
  <c r="G56" i="8"/>
  <c r="H56" i="8" s="1"/>
  <c r="P53" i="8"/>
  <c r="Q53" i="8" s="1"/>
  <c r="D11" i="21" s="1"/>
  <c r="O30" i="8"/>
  <c r="G33" i="8"/>
  <c r="H33" i="8" s="1"/>
  <c r="I31" i="8"/>
  <c r="H100" i="8"/>
  <c r="I100" i="8" s="1"/>
  <c r="J100" i="8" s="1"/>
  <c r="U12" i="8"/>
  <c r="P12" i="8" s="1"/>
  <c r="Q12" i="8" s="1"/>
  <c r="D15" i="5"/>
  <c r="E14" i="5"/>
  <c r="D29" i="7"/>
  <c r="G28" i="7"/>
  <c r="J28" i="7" s="1"/>
  <c r="K28" i="7" s="1"/>
  <c r="J11" i="21" l="1"/>
  <c r="L11" i="21"/>
  <c r="F12" i="21"/>
  <c r="N12" i="21" s="1"/>
  <c r="H11" i="21"/>
  <c r="I12" i="21"/>
  <c r="J29" i="8"/>
  <c r="Q29" i="8" s="1"/>
  <c r="L29" i="17"/>
  <c r="R29" i="17" s="1"/>
  <c r="L29" i="19"/>
  <c r="R29" i="19" s="1"/>
  <c r="L55" i="19"/>
  <c r="R55" i="19" s="1"/>
  <c r="L101" i="19"/>
  <c r="L55" i="17"/>
  <c r="R55" i="17" s="1"/>
  <c r="E13" i="21" s="1"/>
  <c r="M13" i="21" s="1"/>
  <c r="L101" i="17"/>
  <c r="N101" i="17" s="1"/>
  <c r="N100" i="17"/>
  <c r="E15" i="5"/>
  <c r="S28" i="17"/>
  <c r="AC28" i="17" s="1"/>
  <c r="AD28" i="17" s="1"/>
  <c r="AE28" i="17" s="1"/>
  <c r="AF28" i="17" s="1"/>
  <c r="S54" i="19"/>
  <c r="AC54" i="19" s="1"/>
  <c r="AD54" i="19" s="1"/>
  <c r="AE54" i="19" s="1"/>
  <c r="AF54" i="19" s="1"/>
  <c r="S54" i="17"/>
  <c r="S28" i="19"/>
  <c r="AC28" i="19" s="1"/>
  <c r="AD28" i="19" s="1"/>
  <c r="AE28" i="19" s="1"/>
  <c r="AF28" i="19" s="1"/>
  <c r="R28" i="8"/>
  <c r="V28" i="8" s="1"/>
  <c r="W28" i="8" s="1"/>
  <c r="X28" i="8" s="1"/>
  <c r="Y28" i="8" s="1"/>
  <c r="P31" i="19"/>
  <c r="P57" i="19"/>
  <c r="Y33" i="19"/>
  <c r="X34" i="19" s="1"/>
  <c r="U59" i="19"/>
  <c r="V59" i="19" s="1"/>
  <c r="V33" i="19"/>
  <c r="U34" i="19" s="1"/>
  <c r="X56" i="19"/>
  <c r="Y56" i="19" s="1"/>
  <c r="AA56" i="19"/>
  <c r="I106" i="19"/>
  <c r="J105" i="19"/>
  <c r="K105" i="19" s="1"/>
  <c r="J38" i="17"/>
  <c r="K38" i="17"/>
  <c r="AB55" i="17"/>
  <c r="AA56" i="17" s="1"/>
  <c r="AB56" i="17" s="1"/>
  <c r="L31" i="7"/>
  <c r="P31" i="17"/>
  <c r="P57" i="17"/>
  <c r="U30" i="17"/>
  <c r="V30" i="17" s="1"/>
  <c r="U31" i="17" s="1"/>
  <c r="V31" i="17" s="1"/>
  <c r="U32" i="17" s="1"/>
  <c r="V32" i="17" s="1"/>
  <c r="U33" i="17" s="1"/>
  <c r="V33" i="17" s="1"/>
  <c r="U34" i="17" s="1"/>
  <c r="V34" i="17" s="1"/>
  <c r="U35" i="17" s="1"/>
  <c r="V35" i="17" s="1"/>
  <c r="U36" i="17" s="1"/>
  <c r="V36" i="17" s="1"/>
  <c r="U37" i="17" s="1"/>
  <c r="AB29" i="17"/>
  <c r="AA30" i="17" s="1"/>
  <c r="J104" i="17"/>
  <c r="K104" i="17" s="1"/>
  <c r="I105" i="17"/>
  <c r="U57" i="17"/>
  <c r="V57" i="17" s="1"/>
  <c r="I59" i="17"/>
  <c r="K58" i="17"/>
  <c r="J58" i="17"/>
  <c r="X57" i="17"/>
  <c r="Y57" i="17" s="1"/>
  <c r="X52" i="8"/>
  <c r="Y52" i="8" s="1"/>
  <c r="R53" i="8"/>
  <c r="V53" i="8" s="1"/>
  <c r="W53" i="8" s="1"/>
  <c r="X53" i="8" s="1"/>
  <c r="Y53" i="8" s="1"/>
  <c r="X37" i="17"/>
  <c r="Y37" i="17" s="1"/>
  <c r="X38" i="17" s="1"/>
  <c r="Y38" i="17" s="1"/>
  <c r="R12" i="8"/>
  <c r="V12" i="8" s="1"/>
  <c r="W12" i="8" s="1"/>
  <c r="X12" i="8" s="1"/>
  <c r="U25" i="8"/>
  <c r="T26" i="8" s="1"/>
  <c r="V26" i="8" s="1"/>
  <c r="W26" i="8" s="1"/>
  <c r="X26" i="8" s="1"/>
  <c r="L100" i="8"/>
  <c r="T56" i="8"/>
  <c r="U56" i="8" s="1"/>
  <c r="P54" i="8"/>
  <c r="Q54" i="8" s="1"/>
  <c r="D12" i="21" s="1"/>
  <c r="I55" i="8"/>
  <c r="J55" i="8" s="1"/>
  <c r="G57" i="8"/>
  <c r="H57" i="8" s="1"/>
  <c r="O31" i="8"/>
  <c r="G34" i="8"/>
  <c r="H34" i="8" s="1"/>
  <c r="I32" i="8"/>
  <c r="H101" i="8"/>
  <c r="I101" i="8" s="1"/>
  <c r="J101" i="8" s="1"/>
  <c r="L101" i="8" s="1"/>
  <c r="D16" i="5"/>
  <c r="R29" i="8" s="1"/>
  <c r="G29" i="7"/>
  <c r="J29" i="7" s="1"/>
  <c r="K29" i="7" s="1"/>
  <c r="L102" i="17" s="1"/>
  <c r="D30" i="7"/>
  <c r="L12" i="21" l="1"/>
  <c r="J12" i="21"/>
  <c r="F13" i="21"/>
  <c r="N13" i="21" s="1"/>
  <c r="H12" i="21"/>
  <c r="I13" i="21"/>
  <c r="J30" i="8"/>
  <c r="Q30" i="8" s="1"/>
  <c r="L30" i="19"/>
  <c r="R30" i="19" s="1"/>
  <c r="L56" i="19"/>
  <c r="R56" i="19" s="1"/>
  <c r="L30" i="17"/>
  <c r="R30" i="17" s="1"/>
  <c r="L102" i="19"/>
  <c r="N102" i="19" s="1"/>
  <c r="L56" i="17"/>
  <c r="R56" i="17" s="1"/>
  <c r="E14" i="21" s="1"/>
  <c r="M14" i="21" s="1"/>
  <c r="N101" i="19"/>
  <c r="E16" i="5"/>
  <c r="S55" i="19"/>
  <c r="AC55" i="19" s="1"/>
  <c r="AD55" i="19" s="1"/>
  <c r="AE55" i="19" s="1"/>
  <c r="AF55" i="19" s="1"/>
  <c r="S29" i="19"/>
  <c r="S29" i="17"/>
  <c r="AC29" i="17" s="1"/>
  <c r="AD29" i="17" s="1"/>
  <c r="AE29" i="17" s="1"/>
  <c r="AF29" i="17" s="1"/>
  <c r="S55" i="17"/>
  <c r="AC55" i="17" s="1"/>
  <c r="AD55" i="17" s="1"/>
  <c r="AE55" i="17" s="1"/>
  <c r="AF55" i="17" s="1"/>
  <c r="AC54" i="17"/>
  <c r="AD54" i="17" s="1"/>
  <c r="AE54" i="17" s="1"/>
  <c r="AF54" i="17" s="1"/>
  <c r="P58" i="19"/>
  <c r="P32" i="19"/>
  <c r="N102" i="17"/>
  <c r="AB28" i="19"/>
  <c r="U60" i="19"/>
  <c r="V60" i="19" s="1"/>
  <c r="V34" i="19"/>
  <c r="U35" i="19" s="1"/>
  <c r="Y34" i="19"/>
  <c r="X35" i="19" s="1"/>
  <c r="X57" i="19"/>
  <c r="Y57" i="19" s="1"/>
  <c r="J106" i="19"/>
  <c r="K106" i="19" s="1"/>
  <c r="I107" i="19"/>
  <c r="AB56" i="19"/>
  <c r="L32" i="7"/>
  <c r="P58" i="17"/>
  <c r="P32" i="17"/>
  <c r="V37" i="17"/>
  <c r="U38" i="17" s="1"/>
  <c r="V38" i="17" s="1"/>
  <c r="AB30" i="17"/>
  <c r="I106" i="17"/>
  <c r="J105" i="17"/>
  <c r="AA57" i="17"/>
  <c r="AB57" i="17" s="1"/>
  <c r="U58" i="17"/>
  <c r="V58" i="17" s="1"/>
  <c r="X58" i="17"/>
  <c r="Y58" i="17" s="1"/>
  <c r="J59" i="17"/>
  <c r="I60" i="17"/>
  <c r="K59" i="17"/>
  <c r="R54" i="8"/>
  <c r="V54" i="8" s="1"/>
  <c r="W54" i="8" s="1"/>
  <c r="Y12" i="8"/>
  <c r="AB6" i="8" s="1"/>
  <c r="AB7" i="8" s="1"/>
  <c r="AB4" i="8"/>
  <c r="Y26" i="8"/>
  <c r="T57" i="8"/>
  <c r="U57" i="8" s="1"/>
  <c r="I56" i="8"/>
  <c r="J56" i="8" s="1"/>
  <c r="P55" i="8"/>
  <c r="Q55" i="8" s="1"/>
  <c r="D13" i="21" s="1"/>
  <c r="L13" i="21" s="1"/>
  <c r="G58" i="8"/>
  <c r="H58" i="8" s="1"/>
  <c r="G35" i="8"/>
  <c r="H35" i="8" s="1"/>
  <c r="O32" i="8"/>
  <c r="I33" i="8"/>
  <c r="U26" i="8"/>
  <c r="H102" i="8"/>
  <c r="I102" i="8" s="1"/>
  <c r="J102" i="8" s="1"/>
  <c r="L102" i="8" s="1"/>
  <c r="D31" i="7"/>
  <c r="G30" i="7"/>
  <c r="J30" i="7" s="1"/>
  <c r="K30" i="7" s="1"/>
  <c r="D17" i="5"/>
  <c r="J13" i="21" l="1"/>
  <c r="F14" i="21"/>
  <c r="J14" i="21" s="1"/>
  <c r="H13" i="21"/>
  <c r="I14" i="21"/>
  <c r="J31" i="8"/>
  <c r="Q31" i="8" s="1"/>
  <c r="L31" i="17"/>
  <c r="R31" i="17" s="1"/>
  <c r="L57" i="19"/>
  <c r="R57" i="19" s="1"/>
  <c r="L31" i="19"/>
  <c r="R31" i="19" s="1"/>
  <c r="L103" i="19"/>
  <c r="N103" i="19" s="1"/>
  <c r="L57" i="17"/>
  <c r="R57" i="17" s="1"/>
  <c r="E15" i="21" s="1"/>
  <c r="M15" i="21" s="1"/>
  <c r="L103" i="17"/>
  <c r="N103" i="17" s="1"/>
  <c r="E17" i="5"/>
  <c r="S30" i="17"/>
  <c r="AC30" i="17" s="1"/>
  <c r="AD30" i="17" s="1"/>
  <c r="AE30" i="17" s="1"/>
  <c r="AF30" i="17" s="1"/>
  <c r="S30" i="19"/>
  <c r="S56" i="17"/>
  <c r="AC56" i="17" s="1"/>
  <c r="AD56" i="17" s="1"/>
  <c r="AE56" i="17" s="1"/>
  <c r="AF56" i="17" s="1"/>
  <c r="S56" i="19"/>
  <c r="AC56" i="19" s="1"/>
  <c r="AD56" i="19" s="1"/>
  <c r="AE56" i="19" s="1"/>
  <c r="AF56" i="19" s="1"/>
  <c r="R30" i="8"/>
  <c r="AA29" i="19"/>
  <c r="AC29" i="19" s="1"/>
  <c r="AD29" i="19" s="1"/>
  <c r="AE29" i="19" s="1"/>
  <c r="AF29" i="19" s="1"/>
  <c r="P59" i="19"/>
  <c r="P33" i="19"/>
  <c r="AB5" i="8"/>
  <c r="X58" i="19"/>
  <c r="Y58" i="19" s="1"/>
  <c r="Y35" i="19"/>
  <c r="X36" i="19" s="1"/>
  <c r="V35" i="19"/>
  <c r="U36" i="19" s="1"/>
  <c r="U61" i="19"/>
  <c r="V61" i="19" s="1"/>
  <c r="AA57" i="19"/>
  <c r="J107" i="19"/>
  <c r="K107" i="19" s="1"/>
  <c r="I108" i="19"/>
  <c r="K105" i="17"/>
  <c r="L33" i="7"/>
  <c r="P59" i="17"/>
  <c r="P33" i="17"/>
  <c r="AA31" i="17"/>
  <c r="J106" i="17"/>
  <c r="K106" i="17" s="1"/>
  <c r="I107" i="17"/>
  <c r="U59" i="17"/>
  <c r="V59" i="17" s="1"/>
  <c r="AA58" i="17"/>
  <c r="X59" i="17"/>
  <c r="Y59" i="17" s="1"/>
  <c r="I61" i="17"/>
  <c r="K60" i="17"/>
  <c r="J60" i="17"/>
  <c r="R55" i="8"/>
  <c r="V55" i="8" s="1"/>
  <c r="W55" i="8" s="1"/>
  <c r="X54" i="8"/>
  <c r="Y54" i="8" s="1"/>
  <c r="T58" i="8"/>
  <c r="U58" i="8" s="1"/>
  <c r="G59" i="8"/>
  <c r="H59" i="8" s="1"/>
  <c r="P56" i="8"/>
  <c r="Q56" i="8" s="1"/>
  <c r="D14" i="21" s="1"/>
  <c r="L14" i="21" s="1"/>
  <c r="I57" i="8"/>
  <c r="J57" i="8" s="1"/>
  <c r="O33" i="8"/>
  <c r="T27" i="8"/>
  <c r="V27" i="8" s="1"/>
  <c r="W27" i="8" s="1"/>
  <c r="X27" i="8" s="1"/>
  <c r="I34" i="8"/>
  <c r="G36" i="8"/>
  <c r="H36" i="8" s="1"/>
  <c r="H103" i="8"/>
  <c r="I103" i="8" s="1"/>
  <c r="J103" i="8" s="1"/>
  <c r="L103" i="8" s="1"/>
  <c r="D18" i="5"/>
  <c r="R31" i="8" s="1"/>
  <c r="D32" i="7"/>
  <c r="G31" i="7"/>
  <c r="J31" i="7" s="1"/>
  <c r="K31" i="7" s="1"/>
  <c r="N14" i="21" l="1"/>
  <c r="F15" i="21"/>
  <c r="N15" i="21" s="1"/>
  <c r="H14" i="21"/>
  <c r="I15" i="21"/>
  <c r="J32" i="8"/>
  <c r="Q32" i="8" s="1"/>
  <c r="L58" i="19"/>
  <c r="R58" i="19" s="1"/>
  <c r="L32" i="19"/>
  <c r="R32" i="19" s="1"/>
  <c r="L32" i="17"/>
  <c r="R32" i="17" s="1"/>
  <c r="L104" i="19"/>
  <c r="N104" i="19" s="1"/>
  <c r="L58" i="17"/>
  <c r="R58" i="17" s="1"/>
  <c r="E16" i="21" s="1"/>
  <c r="M16" i="21" s="1"/>
  <c r="L104" i="17"/>
  <c r="N104" i="17" s="1"/>
  <c r="E18" i="5"/>
  <c r="S57" i="17"/>
  <c r="AC57" i="17" s="1"/>
  <c r="AD57" i="17" s="1"/>
  <c r="AE57" i="17" s="1"/>
  <c r="AF57" i="17" s="1"/>
  <c r="S57" i="19"/>
  <c r="AC57" i="19" s="1"/>
  <c r="AD57" i="19" s="1"/>
  <c r="AE57" i="19" s="1"/>
  <c r="AF57" i="19" s="1"/>
  <c r="S31" i="17"/>
  <c r="AC31" i="17" s="1"/>
  <c r="AD31" i="17" s="1"/>
  <c r="AE31" i="17" s="1"/>
  <c r="AF31" i="17" s="1"/>
  <c r="S31" i="19"/>
  <c r="AB29" i="19"/>
  <c r="P60" i="19"/>
  <c r="P34" i="19"/>
  <c r="Y36" i="19"/>
  <c r="X37" i="19" s="1"/>
  <c r="X59" i="19"/>
  <c r="Y59" i="19" s="1"/>
  <c r="U62" i="19"/>
  <c r="V62" i="19" s="1"/>
  <c r="I109" i="19"/>
  <c r="J108" i="19"/>
  <c r="K108" i="19" s="1"/>
  <c r="V36" i="19"/>
  <c r="U37" i="19" s="1"/>
  <c r="AB57" i="19"/>
  <c r="AB31" i="17"/>
  <c r="AA32" i="17" s="1"/>
  <c r="L34" i="7"/>
  <c r="P34" i="17"/>
  <c r="P60" i="17"/>
  <c r="I108" i="17"/>
  <c r="J107" i="17"/>
  <c r="K107" i="17" s="1"/>
  <c r="U60" i="17"/>
  <c r="V60" i="17" s="1"/>
  <c r="AB58" i="17"/>
  <c r="K61" i="17"/>
  <c r="J61" i="17"/>
  <c r="I62" i="17"/>
  <c r="X60" i="17"/>
  <c r="Y60" i="17" s="1"/>
  <c r="R56" i="8"/>
  <c r="V56" i="8" s="1"/>
  <c r="W56" i="8" s="1"/>
  <c r="X55" i="8"/>
  <c r="Y55" i="8" s="1"/>
  <c r="Y27" i="8"/>
  <c r="U27" i="8"/>
  <c r="T28" i="8" s="1"/>
  <c r="U28" i="8" s="1"/>
  <c r="T59" i="8"/>
  <c r="U59" i="8" s="1"/>
  <c r="I58" i="8"/>
  <c r="J58" i="8" s="1"/>
  <c r="P57" i="8"/>
  <c r="Q57" i="8" s="1"/>
  <c r="D15" i="21" s="1"/>
  <c r="L15" i="21" s="1"/>
  <c r="G60" i="8"/>
  <c r="H60" i="8" s="1"/>
  <c r="O34" i="8"/>
  <c r="G37" i="8"/>
  <c r="H37" i="8" s="1"/>
  <c r="I35" i="8"/>
  <c r="H104" i="8"/>
  <c r="I104" i="8" s="1"/>
  <c r="J104" i="8" s="1"/>
  <c r="L104" i="8" s="1"/>
  <c r="D19" i="5"/>
  <c r="R32" i="8" s="1"/>
  <c r="D33" i="7"/>
  <c r="G32" i="7"/>
  <c r="J32" i="7" s="1"/>
  <c r="K32" i="7" s="1"/>
  <c r="L105" i="17" s="1"/>
  <c r="N105" i="17" s="1"/>
  <c r="F16" i="21" l="1"/>
  <c r="N16" i="21" s="1"/>
  <c r="J15" i="21"/>
  <c r="H15" i="21"/>
  <c r="I16" i="21"/>
  <c r="J33" i="8"/>
  <c r="Q33" i="8" s="1"/>
  <c r="L33" i="19"/>
  <c r="R33" i="19" s="1"/>
  <c r="L59" i="19"/>
  <c r="R59" i="19" s="1"/>
  <c r="L33" i="17"/>
  <c r="R33" i="17" s="1"/>
  <c r="L105" i="19"/>
  <c r="N105" i="19" s="1"/>
  <c r="L59" i="17"/>
  <c r="R59" i="17" s="1"/>
  <c r="E17" i="21" s="1"/>
  <c r="E19" i="5"/>
  <c r="S58" i="17"/>
  <c r="AC58" i="17" s="1"/>
  <c r="AD58" i="17" s="1"/>
  <c r="AE58" i="17" s="1"/>
  <c r="AF58" i="17" s="1"/>
  <c r="S32" i="17"/>
  <c r="AC32" i="17" s="1"/>
  <c r="AD32" i="17" s="1"/>
  <c r="AE32" i="17" s="1"/>
  <c r="AF32" i="17" s="1"/>
  <c r="S58" i="19"/>
  <c r="S32" i="19"/>
  <c r="AA30" i="19"/>
  <c r="AB30" i="19" s="1"/>
  <c r="AA31" i="19" s="1"/>
  <c r="P61" i="19"/>
  <c r="P35" i="19"/>
  <c r="V37" i="19"/>
  <c r="U38" i="19" s="1"/>
  <c r="U63" i="19"/>
  <c r="V63" i="19" s="1"/>
  <c r="X60" i="19"/>
  <c r="Y60" i="19" s="1"/>
  <c r="Y37" i="19"/>
  <c r="X38" i="19" s="1"/>
  <c r="I110" i="19"/>
  <c r="J109" i="19"/>
  <c r="K109" i="19" s="1"/>
  <c r="AC31" i="19"/>
  <c r="AD31" i="19" s="1"/>
  <c r="AE31" i="19" s="1"/>
  <c r="AF31" i="19" s="1"/>
  <c r="AA58" i="19"/>
  <c r="AB32" i="17"/>
  <c r="AA33" i="17" s="1"/>
  <c r="L35" i="7"/>
  <c r="P35" i="17"/>
  <c r="P61" i="17"/>
  <c r="J108" i="17"/>
  <c r="K108" i="17" s="1"/>
  <c r="I109" i="17"/>
  <c r="U61" i="17"/>
  <c r="V61" i="17" s="1"/>
  <c r="I63" i="17"/>
  <c r="K62" i="17"/>
  <c r="J62" i="17"/>
  <c r="X61" i="17"/>
  <c r="Y61" i="17" s="1"/>
  <c r="AA59" i="17"/>
  <c r="X56" i="8"/>
  <c r="Y56" i="8" s="1"/>
  <c r="R57" i="8"/>
  <c r="V57" i="8" s="1"/>
  <c r="W57" i="8" s="1"/>
  <c r="X57" i="8" s="1"/>
  <c r="Y57" i="8" s="1"/>
  <c r="T60" i="8"/>
  <c r="U60" i="8" s="1"/>
  <c r="I59" i="8"/>
  <c r="J59" i="8" s="1"/>
  <c r="P58" i="8"/>
  <c r="Q58" i="8" s="1"/>
  <c r="D16" i="21" s="1"/>
  <c r="L16" i="21" s="1"/>
  <c r="G61" i="8"/>
  <c r="H61" i="8" s="1"/>
  <c r="O35" i="8"/>
  <c r="T29" i="8"/>
  <c r="V29" i="8" s="1"/>
  <c r="W29" i="8" s="1"/>
  <c r="X29" i="8" s="1"/>
  <c r="I36" i="8"/>
  <c r="G38" i="8"/>
  <c r="H105" i="8"/>
  <c r="I105" i="8" s="1"/>
  <c r="J105" i="8" s="1"/>
  <c r="L105" i="8" s="1"/>
  <c r="D20" i="5"/>
  <c r="R33" i="8" s="1"/>
  <c r="G33" i="7"/>
  <c r="J33" i="7" s="1"/>
  <c r="K33" i="7" s="1"/>
  <c r="D34" i="7"/>
  <c r="J16" i="21" l="1"/>
  <c r="F17" i="21"/>
  <c r="N17" i="21" s="1"/>
  <c r="M17" i="21"/>
  <c r="H16" i="21"/>
  <c r="I17" i="21"/>
  <c r="J34" i="8"/>
  <c r="Q34" i="8" s="1"/>
  <c r="L34" i="19"/>
  <c r="R34" i="19" s="1"/>
  <c r="L60" i="19"/>
  <c r="R60" i="19" s="1"/>
  <c r="L34" i="17"/>
  <c r="R34" i="17" s="1"/>
  <c r="L106" i="19"/>
  <c r="N106" i="19" s="1"/>
  <c r="L106" i="17"/>
  <c r="L60" i="17"/>
  <c r="R60" i="17" s="1"/>
  <c r="E18" i="21" s="1"/>
  <c r="AC58" i="19"/>
  <c r="AD58" i="19" s="1"/>
  <c r="AE58" i="19" s="1"/>
  <c r="AF58" i="19" s="1"/>
  <c r="E20" i="5"/>
  <c r="S59" i="17"/>
  <c r="AC59" i="17" s="1"/>
  <c r="AD59" i="17" s="1"/>
  <c r="AE59" i="17" s="1"/>
  <c r="AF59" i="17" s="1"/>
  <c r="S59" i="19"/>
  <c r="S33" i="19"/>
  <c r="S33" i="17"/>
  <c r="AC33" i="17" s="1"/>
  <c r="AD33" i="17" s="1"/>
  <c r="AE33" i="17" s="1"/>
  <c r="AF33" i="17" s="1"/>
  <c r="AC30" i="19"/>
  <c r="AD30" i="19" s="1"/>
  <c r="AE30" i="19" s="1"/>
  <c r="AF30" i="19" s="1"/>
  <c r="P36" i="19"/>
  <c r="P62" i="19"/>
  <c r="U64" i="19"/>
  <c r="V64" i="19" s="1"/>
  <c r="Y38" i="19"/>
  <c r="AB31" i="19"/>
  <c r="AA32" i="19" s="1"/>
  <c r="X61" i="19"/>
  <c r="Y61" i="19" s="1"/>
  <c r="V38" i="19"/>
  <c r="AB58" i="19"/>
  <c r="J110" i="19"/>
  <c r="K110" i="19" s="1"/>
  <c r="I111" i="19"/>
  <c r="AB33" i="17"/>
  <c r="AA34" i="17" s="1"/>
  <c r="AB34" i="17" s="1"/>
  <c r="AA35" i="17" s="1"/>
  <c r="AB59" i="17"/>
  <c r="L36" i="7"/>
  <c r="P62" i="17"/>
  <c r="P36" i="17"/>
  <c r="I110" i="17"/>
  <c r="J109" i="17"/>
  <c r="K109" i="17" s="1"/>
  <c r="X62" i="17"/>
  <c r="Y62" i="17" s="1"/>
  <c r="U62" i="17"/>
  <c r="V62" i="17" s="1"/>
  <c r="AA60" i="17"/>
  <c r="I64" i="17"/>
  <c r="I65" i="17" s="1"/>
  <c r="K63" i="17"/>
  <c r="J63" i="17"/>
  <c r="R58" i="8"/>
  <c r="V58" i="8" s="1"/>
  <c r="W58" i="8" s="1"/>
  <c r="H38" i="8"/>
  <c r="I38" i="8" s="1"/>
  <c r="Y29" i="8"/>
  <c r="P59" i="8"/>
  <c r="Q59" i="8" s="1"/>
  <c r="D17" i="21" s="1"/>
  <c r="L17" i="21" s="1"/>
  <c r="I60" i="8"/>
  <c r="J60" i="8" s="1"/>
  <c r="G62" i="8"/>
  <c r="H62" i="8" s="1"/>
  <c r="T61" i="8"/>
  <c r="U61" i="8" s="1"/>
  <c r="O36" i="8"/>
  <c r="I37" i="8"/>
  <c r="U29" i="8"/>
  <c r="H106" i="8"/>
  <c r="I106" i="8" s="1"/>
  <c r="J106" i="8" s="1"/>
  <c r="L106" i="8" s="1"/>
  <c r="D35" i="7"/>
  <c r="G34" i="7"/>
  <c r="J34" i="7" s="1"/>
  <c r="K34" i="7" s="1"/>
  <c r="D21" i="5"/>
  <c r="M18" i="21" l="1"/>
  <c r="F18" i="21"/>
  <c r="N18" i="21" s="1"/>
  <c r="J17" i="21"/>
  <c r="R59" i="8"/>
  <c r="H17" i="21"/>
  <c r="I18" i="21"/>
  <c r="N106" i="17"/>
  <c r="J35" i="8"/>
  <c r="Q35" i="8" s="1"/>
  <c r="L35" i="19"/>
  <c r="R35" i="19" s="1"/>
  <c r="L61" i="19"/>
  <c r="R61" i="19" s="1"/>
  <c r="L35" i="17"/>
  <c r="R35" i="17" s="1"/>
  <c r="L107" i="19"/>
  <c r="N107" i="19" s="1"/>
  <c r="L107" i="17"/>
  <c r="N107" i="17" s="1"/>
  <c r="L61" i="17"/>
  <c r="R61" i="17" s="1"/>
  <c r="E19" i="21" s="1"/>
  <c r="E21" i="5"/>
  <c r="S60" i="17"/>
  <c r="AC60" i="17" s="1"/>
  <c r="AD60" i="17" s="1"/>
  <c r="AE60" i="17" s="1"/>
  <c r="AF60" i="17" s="1"/>
  <c r="S60" i="19"/>
  <c r="S34" i="19"/>
  <c r="S34" i="17"/>
  <c r="AC34" i="17" s="1"/>
  <c r="AD34" i="17" s="1"/>
  <c r="AE34" i="17" s="1"/>
  <c r="AF34" i="17" s="1"/>
  <c r="R34" i="8"/>
  <c r="P63" i="19"/>
  <c r="P37" i="19"/>
  <c r="X62" i="19"/>
  <c r="Y62" i="19" s="1"/>
  <c r="U65" i="19"/>
  <c r="V65" i="19" s="1"/>
  <c r="J111" i="19"/>
  <c r="K111" i="19" s="1"/>
  <c r="I112" i="19"/>
  <c r="AA59" i="19"/>
  <c r="AC59" i="19" s="1"/>
  <c r="AD59" i="19" s="1"/>
  <c r="AE59" i="19" s="1"/>
  <c r="AF59" i="19" s="1"/>
  <c r="AC32" i="19"/>
  <c r="AD32" i="19" s="1"/>
  <c r="AE32" i="19" s="1"/>
  <c r="AF32" i="19" s="1"/>
  <c r="I66" i="17"/>
  <c r="J65" i="17"/>
  <c r="K65" i="17"/>
  <c r="L37" i="7"/>
  <c r="P63" i="17"/>
  <c r="P37" i="17"/>
  <c r="AB35" i="17"/>
  <c r="AA36" i="17" s="1"/>
  <c r="J110" i="17"/>
  <c r="K110" i="17" s="1"/>
  <c r="I111" i="17"/>
  <c r="U63" i="17"/>
  <c r="V63" i="17" s="1"/>
  <c r="X63" i="17"/>
  <c r="Y63" i="17" s="1"/>
  <c r="AB60" i="17"/>
  <c r="K64" i="17"/>
  <c r="J64" i="17"/>
  <c r="X58" i="8"/>
  <c r="Y58" i="8" s="1"/>
  <c r="V59" i="8"/>
  <c r="W59" i="8" s="1"/>
  <c r="X59" i="8" s="1"/>
  <c r="Y59" i="8" s="1"/>
  <c r="T62" i="8"/>
  <c r="U62" i="8" s="1"/>
  <c r="P60" i="8"/>
  <c r="Q60" i="8" s="1"/>
  <c r="D18" i="21" s="1"/>
  <c r="L18" i="21" s="1"/>
  <c r="I61" i="8"/>
  <c r="J61" i="8" s="1"/>
  <c r="G63" i="8"/>
  <c r="H63" i="8" s="1"/>
  <c r="O37" i="8"/>
  <c r="T30" i="8"/>
  <c r="V30" i="8" s="1"/>
  <c r="W30" i="8" s="1"/>
  <c r="X30" i="8" s="1"/>
  <c r="Y30" i="8" s="1"/>
  <c r="H107" i="8"/>
  <c r="I107" i="8" s="1"/>
  <c r="J107" i="8" s="1"/>
  <c r="L107" i="8" s="1"/>
  <c r="D22" i="5"/>
  <c r="R35" i="8" s="1"/>
  <c r="D36" i="7"/>
  <c r="G35" i="7"/>
  <c r="J35" i="7" s="1"/>
  <c r="K35" i="7" s="1"/>
  <c r="J18" i="21" l="1"/>
  <c r="M19" i="21"/>
  <c r="F19" i="21"/>
  <c r="N19" i="21" s="1"/>
  <c r="H18" i="21"/>
  <c r="I19" i="21"/>
  <c r="J36" i="8"/>
  <c r="Q36" i="8" s="1"/>
  <c r="L62" i="19"/>
  <c r="R62" i="19" s="1"/>
  <c r="L36" i="19"/>
  <c r="R36" i="19" s="1"/>
  <c r="L36" i="17"/>
  <c r="R36" i="17" s="1"/>
  <c r="L108" i="19"/>
  <c r="N108" i="19" s="1"/>
  <c r="L108" i="17"/>
  <c r="N108" i="17" s="1"/>
  <c r="L62" i="17"/>
  <c r="R62" i="17" s="1"/>
  <c r="E20" i="21" s="1"/>
  <c r="E22" i="5"/>
  <c r="S35" i="17"/>
  <c r="AC35" i="17" s="1"/>
  <c r="AD35" i="17" s="1"/>
  <c r="AE35" i="17" s="1"/>
  <c r="AF35" i="17" s="1"/>
  <c r="S35" i="19"/>
  <c r="S61" i="17"/>
  <c r="S61" i="19"/>
  <c r="P38" i="19"/>
  <c r="P64" i="19"/>
  <c r="X63" i="19"/>
  <c r="Y63" i="19" s="1"/>
  <c r="U66" i="19"/>
  <c r="V66" i="19" s="1"/>
  <c r="I113" i="19"/>
  <c r="J112" i="19"/>
  <c r="K112" i="19" s="1"/>
  <c r="AB32" i="19"/>
  <c r="AA33" i="19" s="1"/>
  <c r="AB59" i="19"/>
  <c r="I67" i="17"/>
  <c r="J66" i="17"/>
  <c r="K66" i="17"/>
  <c r="L38" i="7"/>
  <c r="P65" i="19" s="1"/>
  <c r="P64" i="17"/>
  <c r="P38" i="17"/>
  <c r="AB36" i="17"/>
  <c r="AA37" i="17" s="1"/>
  <c r="I112" i="17"/>
  <c r="J111" i="17"/>
  <c r="K111" i="17" s="1"/>
  <c r="X64" i="17"/>
  <c r="Y64" i="17" s="1"/>
  <c r="X65" i="17" s="1"/>
  <c r="Y65" i="17" s="1"/>
  <c r="AA61" i="17"/>
  <c r="U64" i="17"/>
  <c r="V64" i="17" s="1"/>
  <c r="R60" i="8"/>
  <c r="V60" i="8" s="1"/>
  <c r="W60" i="8" s="1"/>
  <c r="T63" i="8"/>
  <c r="U63" i="8" s="1"/>
  <c r="G64" i="8"/>
  <c r="H64" i="8" s="1"/>
  <c r="I62" i="8"/>
  <c r="J62" i="8" s="1"/>
  <c r="P61" i="8"/>
  <c r="Q61" i="8" s="1"/>
  <c r="D19" i="21" s="1"/>
  <c r="L19" i="21" s="1"/>
  <c r="U30" i="8"/>
  <c r="H108" i="8"/>
  <c r="I108" i="8" s="1"/>
  <c r="J108" i="8" s="1"/>
  <c r="L108" i="8" s="1"/>
  <c r="D23" i="5"/>
  <c r="D37" i="7"/>
  <c r="G36" i="7"/>
  <c r="J36" i="7" s="1"/>
  <c r="K36" i="7" s="1"/>
  <c r="M20" i="21" l="1"/>
  <c r="F20" i="21"/>
  <c r="N20" i="21" s="1"/>
  <c r="J19" i="21"/>
  <c r="H19" i="21"/>
  <c r="R36" i="8"/>
  <c r="I20" i="21"/>
  <c r="J37" i="8"/>
  <c r="Q37" i="8" s="1"/>
  <c r="L37" i="19"/>
  <c r="R37" i="19" s="1"/>
  <c r="L63" i="19"/>
  <c r="R63" i="19" s="1"/>
  <c r="L37" i="17"/>
  <c r="R37" i="17" s="1"/>
  <c r="L109" i="19"/>
  <c r="N109" i="19" s="1"/>
  <c r="L63" i="17"/>
  <c r="R63" i="17" s="1"/>
  <c r="E21" i="21" s="1"/>
  <c r="L109" i="17"/>
  <c r="N109" i="17" s="1"/>
  <c r="AC61" i="17"/>
  <c r="AD61" i="17" s="1"/>
  <c r="AE61" i="17" s="1"/>
  <c r="AF61" i="17" s="1"/>
  <c r="E23" i="5"/>
  <c r="S62" i="17"/>
  <c r="S36" i="19"/>
  <c r="S62" i="19"/>
  <c r="S36" i="17"/>
  <c r="AC36" i="17" s="1"/>
  <c r="AD36" i="17" s="1"/>
  <c r="AE36" i="17" s="1"/>
  <c r="AF36" i="17" s="1"/>
  <c r="X64" i="19"/>
  <c r="Y64" i="19" s="1"/>
  <c r="AA60" i="19"/>
  <c r="AC60" i="19" s="1"/>
  <c r="AD60" i="19" s="1"/>
  <c r="AE60" i="19" s="1"/>
  <c r="AF60" i="19" s="1"/>
  <c r="U67" i="19"/>
  <c r="V67" i="19" s="1"/>
  <c r="AC33" i="19"/>
  <c r="AD33" i="19" s="1"/>
  <c r="AE33" i="19" s="1"/>
  <c r="I114" i="19"/>
  <c r="J113" i="19"/>
  <c r="K113" i="19" s="1"/>
  <c r="I68" i="17"/>
  <c r="K67" i="17"/>
  <c r="J67" i="17"/>
  <c r="L39" i="7"/>
  <c r="P66" i="19" s="1"/>
  <c r="P65" i="17"/>
  <c r="X66" i="17"/>
  <c r="Y66" i="17" s="1"/>
  <c r="X67" i="17" s="1"/>
  <c r="Y67" i="17" s="1"/>
  <c r="X68" i="17" s="1"/>
  <c r="Y68" i="17" s="1"/>
  <c r="X69" i="17" s="1"/>
  <c r="Y69" i="17" s="1"/>
  <c r="X70" i="17" s="1"/>
  <c r="Y70" i="17" s="1"/>
  <c r="X71" i="17" s="1"/>
  <c r="Y71" i="17" s="1"/>
  <c r="X72" i="17" s="1"/>
  <c r="Y72" i="17" s="1"/>
  <c r="X73" i="17" s="1"/>
  <c r="Y73" i="17" s="1"/>
  <c r="AB37" i="17"/>
  <c r="AA38" i="17" s="1"/>
  <c r="AB38" i="17" s="1"/>
  <c r="Q38" i="17" s="1"/>
  <c r="J112" i="17"/>
  <c r="K112" i="17" s="1"/>
  <c r="I113" i="17"/>
  <c r="U65" i="17"/>
  <c r="AB61" i="17"/>
  <c r="R61" i="8"/>
  <c r="V61" i="8" s="1"/>
  <c r="W61" i="8" s="1"/>
  <c r="X60" i="8"/>
  <c r="Y60" i="8" s="1"/>
  <c r="T64" i="8"/>
  <c r="U64" i="8" s="1"/>
  <c r="I64" i="8"/>
  <c r="G65" i="8"/>
  <c r="H65" i="8" s="1"/>
  <c r="P62" i="8"/>
  <c r="Q62" i="8" s="1"/>
  <c r="D20" i="21" s="1"/>
  <c r="L20" i="21" s="1"/>
  <c r="I63" i="8"/>
  <c r="J63" i="8" s="1"/>
  <c r="T31" i="8"/>
  <c r="V31" i="8" s="1"/>
  <c r="W31" i="8" s="1"/>
  <c r="X31" i="8" s="1"/>
  <c r="Y31" i="8" s="1"/>
  <c r="H109" i="8"/>
  <c r="I109" i="8" s="1"/>
  <c r="J109" i="8" s="1"/>
  <c r="L109" i="8" s="1"/>
  <c r="G37" i="7"/>
  <c r="J37" i="7" s="1"/>
  <c r="K37" i="7" s="1"/>
  <c r="D38" i="7"/>
  <c r="D24" i="5"/>
  <c r="M21" i="21" l="1"/>
  <c r="J20" i="21"/>
  <c r="F21" i="21"/>
  <c r="N21" i="21" s="1"/>
  <c r="H20" i="21"/>
  <c r="R37" i="8"/>
  <c r="I21" i="21"/>
  <c r="J38" i="8"/>
  <c r="L38" i="19"/>
  <c r="L64" i="19"/>
  <c r="R64" i="19" s="1"/>
  <c r="L38" i="17"/>
  <c r="R38" i="17" s="1"/>
  <c r="L110" i="19"/>
  <c r="N110" i="19" s="1"/>
  <c r="L110" i="17"/>
  <c r="N110" i="17" s="1"/>
  <c r="L64" i="17"/>
  <c r="E24" i="5"/>
  <c r="S63" i="19"/>
  <c r="S37" i="19"/>
  <c r="S63" i="17"/>
  <c r="S37" i="17"/>
  <c r="AC37" i="17" s="1"/>
  <c r="AD37" i="17" s="1"/>
  <c r="AE37" i="17" s="1"/>
  <c r="AF37" i="17" s="1"/>
  <c r="AF33" i="19"/>
  <c r="AB33" i="19"/>
  <c r="AA34" i="19" s="1"/>
  <c r="AC34" i="19" s="1"/>
  <c r="AD34" i="19" s="1"/>
  <c r="AE34" i="19" s="1"/>
  <c r="AF34" i="19" s="1"/>
  <c r="U68" i="19"/>
  <c r="V68" i="19" s="1"/>
  <c r="X65" i="19"/>
  <c r="Y65" i="19" s="1"/>
  <c r="AB60" i="19"/>
  <c r="J114" i="19"/>
  <c r="K114" i="19" s="1"/>
  <c r="I115" i="19"/>
  <c r="I69" i="17"/>
  <c r="K68" i="17"/>
  <c r="J68" i="17"/>
  <c r="L40" i="7"/>
  <c r="P67" i="19" s="1"/>
  <c r="P66" i="17"/>
  <c r="X74" i="17"/>
  <c r="Y74" i="17" s="1"/>
  <c r="I114" i="17"/>
  <c r="J113" i="17"/>
  <c r="K113" i="17" s="1"/>
  <c r="V65" i="17"/>
  <c r="AA62" i="17"/>
  <c r="AC62" i="17" s="1"/>
  <c r="AD62" i="17" s="1"/>
  <c r="AE62" i="17" s="1"/>
  <c r="AF62" i="17" s="1"/>
  <c r="R62" i="8"/>
  <c r="V62" i="8" s="1"/>
  <c r="W62" i="8" s="1"/>
  <c r="X61" i="8"/>
  <c r="Y61" i="8" s="1"/>
  <c r="P63" i="8"/>
  <c r="Q63" i="8" s="1"/>
  <c r="D21" i="21" s="1"/>
  <c r="L21" i="21" s="1"/>
  <c r="J64" i="8"/>
  <c r="Q64" i="8" s="1"/>
  <c r="D22" i="21" s="1"/>
  <c r="L22" i="21" s="1"/>
  <c r="U31" i="8"/>
  <c r="T32" i="8" s="1"/>
  <c r="V32" i="8" s="1"/>
  <c r="W32" i="8" s="1"/>
  <c r="X32" i="8" s="1"/>
  <c r="Y32" i="8" s="1"/>
  <c r="T65" i="8"/>
  <c r="U65" i="8" s="1"/>
  <c r="G66" i="8"/>
  <c r="H66" i="8" s="1"/>
  <c r="H110" i="8"/>
  <c r="I110" i="8" s="1"/>
  <c r="J110" i="8" s="1"/>
  <c r="L110" i="8" s="1"/>
  <c r="D39" i="7"/>
  <c r="G38" i="7"/>
  <c r="J38" i="7" s="1"/>
  <c r="K38" i="7" s="1"/>
  <c r="D25" i="5"/>
  <c r="J21" i="21" l="1"/>
  <c r="F22" i="21"/>
  <c r="N22" i="21" s="1"/>
  <c r="H21" i="21"/>
  <c r="H22" i="21" s="1"/>
  <c r="S64" i="19"/>
  <c r="L65" i="19"/>
  <c r="R65" i="19" s="1"/>
  <c r="L111" i="19"/>
  <c r="N111" i="19" s="1"/>
  <c r="L65" i="17"/>
  <c r="R65" i="17" s="1"/>
  <c r="E23" i="21" s="1"/>
  <c r="L111" i="17"/>
  <c r="N111" i="17" s="1"/>
  <c r="R64" i="8"/>
  <c r="S38" i="17"/>
  <c r="AC38" i="17" s="1"/>
  <c r="AD38" i="17" s="1"/>
  <c r="AE38" i="17" s="1"/>
  <c r="X66" i="19"/>
  <c r="Y66" i="19" s="1"/>
  <c r="U69" i="19"/>
  <c r="V69" i="19" s="1"/>
  <c r="AA61" i="19"/>
  <c r="AC61" i="19" s="1"/>
  <c r="AD61" i="19" s="1"/>
  <c r="AE61" i="19" s="1"/>
  <c r="AF61" i="19" s="1"/>
  <c r="J115" i="19"/>
  <c r="K115" i="19" s="1"/>
  <c r="I116" i="19"/>
  <c r="AB34" i="19"/>
  <c r="AA35" i="19" s="1"/>
  <c r="I70" i="17"/>
  <c r="J69" i="17"/>
  <c r="K69" i="17"/>
  <c r="L41" i="7"/>
  <c r="P68" i="19" s="1"/>
  <c r="P67" i="17"/>
  <c r="X75" i="17"/>
  <c r="Y75" i="17" s="1"/>
  <c r="J114" i="17"/>
  <c r="K114" i="17" s="1"/>
  <c r="I115" i="17"/>
  <c r="U66" i="17"/>
  <c r="V66" i="17" s="1"/>
  <c r="U67" i="17" s="1"/>
  <c r="AB62" i="17"/>
  <c r="X62" i="8"/>
  <c r="Y62" i="8" s="1"/>
  <c r="R63" i="8"/>
  <c r="V63" i="8" s="1"/>
  <c r="W63" i="8" s="1"/>
  <c r="X63" i="8" s="1"/>
  <c r="Y63" i="8" s="1"/>
  <c r="T66" i="8"/>
  <c r="U66" i="8" s="1"/>
  <c r="G67" i="8"/>
  <c r="H67" i="8" s="1"/>
  <c r="I65" i="8"/>
  <c r="J65" i="8" s="1"/>
  <c r="U32" i="8"/>
  <c r="H111" i="8"/>
  <c r="I111" i="8" s="1"/>
  <c r="J111" i="8" s="1"/>
  <c r="L111" i="8" s="1"/>
  <c r="E25" i="5"/>
  <c r="I6" i="5" s="1"/>
  <c r="H12" i="5" s="1"/>
  <c r="H6" i="5"/>
  <c r="D26" i="5"/>
  <c r="D40" i="7"/>
  <c r="G39" i="7"/>
  <c r="J39" i="7" s="1"/>
  <c r="K39" i="7" s="1"/>
  <c r="F23" i="21" l="1"/>
  <c r="N23" i="21" s="1"/>
  <c r="J22" i="21"/>
  <c r="L66" i="19"/>
  <c r="R66" i="19" s="1"/>
  <c r="L66" i="17"/>
  <c r="R66" i="17" s="1"/>
  <c r="E24" i="21" s="1"/>
  <c r="L112" i="19"/>
  <c r="N112" i="19" s="1"/>
  <c r="L112" i="17"/>
  <c r="N112" i="17" s="1"/>
  <c r="AF38" i="17"/>
  <c r="AI15" i="17"/>
  <c r="E26" i="5"/>
  <c r="S65" i="19"/>
  <c r="S65" i="17"/>
  <c r="U70" i="19"/>
  <c r="V70" i="19"/>
  <c r="X67" i="19"/>
  <c r="Y67" i="19" s="1"/>
  <c r="I117" i="19"/>
  <c r="J116" i="19"/>
  <c r="K116" i="19" s="1"/>
  <c r="AC35" i="19"/>
  <c r="AD35" i="19" s="1"/>
  <c r="AE35" i="19" s="1"/>
  <c r="AB61" i="19"/>
  <c r="I71" i="17"/>
  <c r="K70" i="17"/>
  <c r="J70" i="17"/>
  <c r="L42" i="7"/>
  <c r="P69" i="19" s="1"/>
  <c r="P68" i="17"/>
  <c r="X76" i="17"/>
  <c r="Y76" i="17" s="1"/>
  <c r="I116" i="17"/>
  <c r="J115" i="17"/>
  <c r="K115" i="17" s="1"/>
  <c r="V67" i="17"/>
  <c r="AA63" i="17"/>
  <c r="AC63" i="17" s="1"/>
  <c r="AD63" i="17" s="1"/>
  <c r="AE63" i="17" s="1"/>
  <c r="AF63" i="17" s="1"/>
  <c r="V64" i="8"/>
  <c r="W64" i="8" s="1"/>
  <c r="X64" i="8" s="1"/>
  <c r="Y64" i="8" s="1"/>
  <c r="P65" i="8"/>
  <c r="Q65" i="8" s="1"/>
  <c r="D23" i="21" s="1"/>
  <c r="L23" i="21" s="1"/>
  <c r="T67" i="8"/>
  <c r="U67" i="8" s="1"/>
  <c r="I66" i="8"/>
  <c r="J66" i="8" s="1"/>
  <c r="G68" i="8"/>
  <c r="H68" i="8" s="1"/>
  <c r="T33" i="8"/>
  <c r="V33" i="8" s="1"/>
  <c r="W33" i="8" s="1"/>
  <c r="X33" i="8" s="1"/>
  <c r="Y33" i="8" s="1"/>
  <c r="H112" i="8"/>
  <c r="I112" i="8" s="1"/>
  <c r="J112" i="8" s="1"/>
  <c r="L112" i="8" s="1"/>
  <c r="D41" i="7"/>
  <c r="G40" i="7"/>
  <c r="J40" i="7" s="1"/>
  <c r="K40" i="7" s="1"/>
  <c r="D27" i="5"/>
  <c r="J23" i="21" l="1"/>
  <c r="F24" i="21"/>
  <c r="N24" i="21" s="1"/>
  <c r="R65" i="8"/>
  <c r="H23" i="21"/>
  <c r="L67" i="19"/>
  <c r="R67" i="19" s="1"/>
  <c r="L113" i="19"/>
  <c r="N113" i="19" s="1"/>
  <c r="L67" i="17"/>
  <c r="R67" i="17" s="1"/>
  <c r="E25" i="21" s="1"/>
  <c r="L113" i="17"/>
  <c r="N113" i="17" s="1"/>
  <c r="E27" i="5"/>
  <c r="S66" i="19"/>
  <c r="S66" i="17"/>
  <c r="AI16" i="17"/>
  <c r="AI17" i="17"/>
  <c r="AI18" i="17" s="1"/>
  <c r="AF35" i="19"/>
  <c r="X68" i="19"/>
  <c r="Y68" i="19" s="1"/>
  <c r="AB35" i="19"/>
  <c r="AA36" i="19" s="1"/>
  <c r="U71" i="19"/>
  <c r="V71" i="19" s="1"/>
  <c r="AA62" i="19"/>
  <c r="AC62" i="19" s="1"/>
  <c r="AD62" i="19" s="1"/>
  <c r="AE62" i="19" s="1"/>
  <c r="AF62" i="19" s="1"/>
  <c r="I118" i="19"/>
  <c r="J117" i="19"/>
  <c r="K117" i="19" s="1"/>
  <c r="K71" i="17"/>
  <c r="I72" i="17"/>
  <c r="J71" i="17"/>
  <c r="L43" i="7"/>
  <c r="P70" i="19" s="1"/>
  <c r="P69" i="17"/>
  <c r="AB63" i="17"/>
  <c r="AA64" i="17" s="1"/>
  <c r="AB64" i="17" s="1"/>
  <c r="X77" i="17"/>
  <c r="Y77" i="17" s="1"/>
  <c r="X78" i="17" s="1"/>
  <c r="Y78" i="17" s="1"/>
  <c r="J116" i="17"/>
  <c r="K116" i="17" s="1"/>
  <c r="I117" i="17"/>
  <c r="U68" i="17"/>
  <c r="V65" i="8"/>
  <c r="W65" i="8" s="1"/>
  <c r="X65" i="8" s="1"/>
  <c r="Y65" i="8" s="1"/>
  <c r="P66" i="8"/>
  <c r="Q66" i="8" s="1"/>
  <c r="D24" i="21" s="1"/>
  <c r="L24" i="21" s="1"/>
  <c r="T68" i="8"/>
  <c r="U68" i="8" s="1"/>
  <c r="I67" i="8"/>
  <c r="J67" i="8" s="1"/>
  <c r="G69" i="8"/>
  <c r="H69" i="8" s="1"/>
  <c r="U33" i="8"/>
  <c r="H113" i="8"/>
  <c r="I113" i="8" s="1"/>
  <c r="J113" i="8" s="1"/>
  <c r="L113" i="8" s="1"/>
  <c r="D28" i="5"/>
  <c r="G41" i="7"/>
  <c r="J41" i="7" s="1"/>
  <c r="K41" i="7" s="1"/>
  <c r="D42" i="7"/>
  <c r="F25" i="21" l="1"/>
  <c r="N25" i="21" s="1"/>
  <c r="J24" i="21"/>
  <c r="R66" i="8"/>
  <c r="V66" i="8" s="1"/>
  <c r="W66" i="8" s="1"/>
  <c r="X66" i="8" s="1"/>
  <c r="Y66" i="8" s="1"/>
  <c r="H24" i="21"/>
  <c r="L68" i="19"/>
  <c r="R68" i="19" s="1"/>
  <c r="L68" i="17"/>
  <c r="R68" i="17" s="1"/>
  <c r="E26" i="21" s="1"/>
  <c r="L114" i="19"/>
  <c r="N114" i="19" s="1"/>
  <c r="L114" i="17"/>
  <c r="N114" i="17" s="1"/>
  <c r="E28" i="5"/>
  <c r="S67" i="19"/>
  <c r="S67" i="17"/>
  <c r="X69" i="19"/>
  <c r="Y69" i="19" s="1"/>
  <c r="AC36" i="19"/>
  <c r="AD36" i="19" s="1"/>
  <c r="AE36" i="19" s="1"/>
  <c r="J118" i="19"/>
  <c r="K118" i="19" s="1"/>
  <c r="I119" i="19"/>
  <c r="U72" i="19"/>
  <c r="V72" i="19" s="1"/>
  <c r="AB62" i="19"/>
  <c r="K72" i="17"/>
  <c r="I73" i="17"/>
  <c r="J72" i="17"/>
  <c r="L44" i="7"/>
  <c r="P71" i="19" s="1"/>
  <c r="P70" i="17"/>
  <c r="X79" i="17"/>
  <c r="Y79" i="17" s="1"/>
  <c r="I118" i="17"/>
  <c r="J117" i="17"/>
  <c r="K117" i="17" s="1"/>
  <c r="R64" i="17"/>
  <c r="E22" i="21" s="1"/>
  <c r="AA65" i="17"/>
  <c r="AC65" i="17" s="1"/>
  <c r="AD65" i="17" s="1"/>
  <c r="AE65" i="17" s="1"/>
  <c r="AF65" i="17" s="1"/>
  <c r="V68" i="17"/>
  <c r="U69" i="17" s="1"/>
  <c r="T69" i="8"/>
  <c r="U69" i="8" s="1"/>
  <c r="I68" i="8"/>
  <c r="J68" i="8" s="1"/>
  <c r="G70" i="8"/>
  <c r="H70" i="8" s="1"/>
  <c r="P67" i="8"/>
  <c r="Q67" i="8" s="1"/>
  <c r="D25" i="21" s="1"/>
  <c r="L25" i="21" s="1"/>
  <c r="T34" i="8"/>
  <c r="V34" i="8" s="1"/>
  <c r="W34" i="8" s="1"/>
  <c r="X34" i="8" s="1"/>
  <c r="Y34" i="8" s="1"/>
  <c r="H114" i="8"/>
  <c r="I114" i="8" s="1"/>
  <c r="J114" i="8" s="1"/>
  <c r="L114" i="8" s="1"/>
  <c r="D43" i="7"/>
  <c r="G42" i="7"/>
  <c r="J42" i="7" s="1"/>
  <c r="K42" i="7" s="1"/>
  <c r="D29" i="5"/>
  <c r="M25" i="21" l="1"/>
  <c r="M26" i="21"/>
  <c r="M22" i="21"/>
  <c r="M24" i="21"/>
  <c r="M23" i="21"/>
  <c r="F26" i="21"/>
  <c r="N26" i="21" s="1"/>
  <c r="J25" i="21"/>
  <c r="J26" i="21" s="1"/>
  <c r="H25" i="21"/>
  <c r="S64" i="17"/>
  <c r="AC64" i="17" s="1"/>
  <c r="AD64" i="17" s="1"/>
  <c r="AE64" i="17" s="1"/>
  <c r="AF64" i="17" s="1"/>
  <c r="I22" i="21"/>
  <c r="I23" i="21" s="1"/>
  <c r="I24" i="21" s="1"/>
  <c r="I25" i="21" s="1"/>
  <c r="I26" i="21" s="1"/>
  <c r="L69" i="19"/>
  <c r="R69" i="19" s="1"/>
  <c r="L69" i="17"/>
  <c r="R69" i="17" s="1"/>
  <c r="E27" i="21" s="1"/>
  <c r="L115" i="19"/>
  <c r="N115" i="19" s="1"/>
  <c r="L115" i="17"/>
  <c r="N115" i="17" s="1"/>
  <c r="E29" i="5"/>
  <c r="S68" i="19"/>
  <c r="S68" i="17"/>
  <c r="AF36" i="19"/>
  <c r="AB36" i="19"/>
  <c r="AA37" i="19" s="1"/>
  <c r="U73" i="19"/>
  <c r="V73" i="19" s="1"/>
  <c r="J119" i="19"/>
  <c r="K119" i="19" s="1"/>
  <c r="I120" i="19"/>
  <c r="X70" i="19"/>
  <c r="Y70" i="19" s="1"/>
  <c r="AA63" i="19"/>
  <c r="AC63" i="19" s="1"/>
  <c r="AD63" i="19" s="1"/>
  <c r="AE63" i="19" s="1"/>
  <c r="AF63" i="19" s="1"/>
  <c r="K73" i="17"/>
  <c r="J73" i="17"/>
  <c r="I74" i="17"/>
  <c r="L45" i="7"/>
  <c r="P72" i="19" s="1"/>
  <c r="P71" i="17"/>
  <c r="X80" i="17"/>
  <c r="Y80" i="17" s="1"/>
  <c r="X81" i="17" s="1"/>
  <c r="Y81" i="17" s="1"/>
  <c r="J118" i="17"/>
  <c r="K118" i="17" s="1"/>
  <c r="I119" i="17"/>
  <c r="AB65" i="17"/>
  <c r="V69" i="17"/>
  <c r="R67" i="8"/>
  <c r="V67" i="8" s="1"/>
  <c r="W67" i="8" s="1"/>
  <c r="P68" i="8"/>
  <c r="Q68" i="8" s="1"/>
  <c r="T70" i="8"/>
  <c r="U70" i="8" s="1"/>
  <c r="G71" i="8"/>
  <c r="H71" i="8" s="1"/>
  <c r="I69" i="8"/>
  <c r="J69" i="8" s="1"/>
  <c r="U34" i="8"/>
  <c r="H115" i="8"/>
  <c r="I115" i="8" s="1"/>
  <c r="J115" i="8" s="1"/>
  <c r="L115" i="8" s="1"/>
  <c r="D44" i="7"/>
  <c r="G43" i="7"/>
  <c r="J43" i="7" s="1"/>
  <c r="K43" i="7" s="1"/>
  <c r="D30" i="5"/>
  <c r="H26" i="21" l="1"/>
  <c r="D26" i="21"/>
  <c r="L26" i="21" s="1"/>
  <c r="M27" i="21"/>
  <c r="F27" i="21"/>
  <c r="N27" i="21" s="1"/>
  <c r="I27" i="21"/>
  <c r="L70" i="19"/>
  <c r="R70" i="19" s="1"/>
  <c r="L116" i="19"/>
  <c r="N116" i="19" s="1"/>
  <c r="L70" i="17"/>
  <c r="R70" i="17" s="1"/>
  <c r="E28" i="21" s="1"/>
  <c r="M28" i="21" s="1"/>
  <c r="L116" i="17"/>
  <c r="N116" i="17" s="1"/>
  <c r="E30" i="5"/>
  <c r="S69" i="19"/>
  <c r="S69" i="17"/>
  <c r="U74" i="19"/>
  <c r="V74" i="19" s="1"/>
  <c r="X71" i="19"/>
  <c r="Y71" i="19" s="1"/>
  <c r="AB63" i="19"/>
  <c r="I121" i="19"/>
  <c r="J120" i="19"/>
  <c r="K120" i="19" s="1"/>
  <c r="AC37" i="19"/>
  <c r="AD37" i="19" s="1"/>
  <c r="AE37" i="19" s="1"/>
  <c r="K74" i="17"/>
  <c r="J74" i="17"/>
  <c r="I75" i="17"/>
  <c r="L46" i="7"/>
  <c r="P73" i="19" s="1"/>
  <c r="P72" i="17"/>
  <c r="X82" i="17"/>
  <c r="Y82" i="17" s="1"/>
  <c r="I120" i="17"/>
  <c r="J119" i="17"/>
  <c r="K119" i="17" s="1"/>
  <c r="AA66" i="17"/>
  <c r="AC66" i="17" s="1"/>
  <c r="AD66" i="17" s="1"/>
  <c r="AE66" i="17" s="1"/>
  <c r="AF66" i="17" s="1"/>
  <c r="U70" i="17"/>
  <c r="V70" i="17" s="1"/>
  <c r="U71" i="17" s="1"/>
  <c r="R68" i="8"/>
  <c r="V68" i="8" s="1"/>
  <c r="W68" i="8" s="1"/>
  <c r="X67" i="8"/>
  <c r="Y67" i="8" s="1"/>
  <c r="P69" i="8"/>
  <c r="Q69" i="8" s="1"/>
  <c r="D27" i="21" s="1"/>
  <c r="L27" i="21" s="1"/>
  <c r="T71" i="8"/>
  <c r="U71" i="8" s="1"/>
  <c r="I70" i="8"/>
  <c r="J70" i="8" s="1"/>
  <c r="G72" i="8"/>
  <c r="H72" i="8" s="1"/>
  <c r="T35" i="8"/>
  <c r="V35" i="8" s="1"/>
  <c r="W35" i="8" s="1"/>
  <c r="X35" i="8" s="1"/>
  <c r="Y35" i="8" s="1"/>
  <c r="H116" i="8"/>
  <c r="I116" i="8" s="1"/>
  <c r="J116" i="8" s="1"/>
  <c r="L116" i="8" s="1"/>
  <c r="D45" i="7"/>
  <c r="G44" i="7"/>
  <c r="J44" i="7" s="1"/>
  <c r="K44" i="7" s="1"/>
  <c r="D31" i="5"/>
  <c r="J27" i="21" l="1"/>
  <c r="J28" i="21"/>
  <c r="F28" i="21"/>
  <c r="N28" i="21" s="1"/>
  <c r="R69" i="8"/>
  <c r="H27" i="21"/>
  <c r="I28" i="21"/>
  <c r="L71" i="19"/>
  <c r="R71" i="19" s="1"/>
  <c r="L117" i="19"/>
  <c r="N117" i="19" s="1"/>
  <c r="L71" i="17"/>
  <c r="R71" i="17" s="1"/>
  <c r="E29" i="21" s="1"/>
  <c r="M29" i="21" s="1"/>
  <c r="L117" i="17"/>
  <c r="N117" i="17" s="1"/>
  <c r="E31" i="5"/>
  <c r="S70" i="19"/>
  <c r="S70" i="17"/>
  <c r="AF37" i="19"/>
  <c r="AB37" i="19"/>
  <c r="AA38" i="19" s="1"/>
  <c r="X72" i="19"/>
  <c r="Y72" i="19" s="1"/>
  <c r="I122" i="19"/>
  <c r="J121" i="19"/>
  <c r="K121" i="19" s="1"/>
  <c r="U75" i="19"/>
  <c r="V75" i="19" s="1"/>
  <c r="AA64" i="19"/>
  <c r="AC64" i="19" s="1"/>
  <c r="AD64" i="19" s="1"/>
  <c r="AE64" i="19" s="1"/>
  <c r="AF64" i="19" s="1"/>
  <c r="J75" i="17"/>
  <c r="K75" i="17"/>
  <c r="I76" i="17"/>
  <c r="AB66" i="17"/>
  <c r="AA67" i="17" s="1"/>
  <c r="AC67" i="17" s="1"/>
  <c r="AD67" i="17" s="1"/>
  <c r="AE67" i="17" s="1"/>
  <c r="AF67" i="17" s="1"/>
  <c r="L47" i="7"/>
  <c r="P74" i="19" s="1"/>
  <c r="P73" i="17"/>
  <c r="X83" i="17"/>
  <c r="Y83" i="17" s="1"/>
  <c r="J120" i="17"/>
  <c r="K120" i="17" s="1"/>
  <c r="I121" i="17"/>
  <c r="V71" i="17"/>
  <c r="U72" i="17" s="1"/>
  <c r="X68" i="8"/>
  <c r="Y68" i="8" s="1"/>
  <c r="V69" i="8"/>
  <c r="W69" i="8" s="1"/>
  <c r="X69" i="8" s="1"/>
  <c r="Y69" i="8" s="1"/>
  <c r="T72" i="8"/>
  <c r="U72" i="8" s="1"/>
  <c r="I71" i="8"/>
  <c r="J71" i="8" s="1"/>
  <c r="G73" i="8"/>
  <c r="H73" i="8" s="1"/>
  <c r="P70" i="8"/>
  <c r="Q70" i="8" s="1"/>
  <c r="D28" i="21" s="1"/>
  <c r="L28" i="21" s="1"/>
  <c r="U35" i="8"/>
  <c r="T36" i="8" s="1"/>
  <c r="V36" i="8" s="1"/>
  <c r="W36" i="8" s="1"/>
  <c r="X36" i="8" s="1"/>
  <c r="Y36" i="8" s="1"/>
  <c r="H117" i="8"/>
  <c r="I117" i="8" s="1"/>
  <c r="J117" i="8" s="1"/>
  <c r="L117" i="8" s="1"/>
  <c r="D32" i="5"/>
  <c r="G45" i="7"/>
  <c r="J45" i="7" s="1"/>
  <c r="K45" i="7" s="1"/>
  <c r="D46" i="7"/>
  <c r="F29" i="21" l="1"/>
  <c r="N29" i="21" s="1"/>
  <c r="H28" i="21"/>
  <c r="I29" i="21"/>
  <c r="L72" i="19"/>
  <c r="R72" i="19" s="1"/>
  <c r="L72" i="17"/>
  <c r="R72" i="17" s="1"/>
  <c r="E30" i="21" s="1"/>
  <c r="M30" i="21" s="1"/>
  <c r="L118" i="19"/>
  <c r="N118" i="19" s="1"/>
  <c r="L118" i="17"/>
  <c r="N118" i="17" s="1"/>
  <c r="E32" i="5"/>
  <c r="S71" i="19"/>
  <c r="S71" i="17"/>
  <c r="AB38" i="19"/>
  <c r="Q38" i="19" s="1"/>
  <c r="R38" i="19" s="1"/>
  <c r="S38" i="19" s="1"/>
  <c r="AC38" i="19" s="1"/>
  <c r="AD38" i="19" s="1"/>
  <c r="AE38" i="19" s="1"/>
  <c r="AI15" i="19" s="1"/>
  <c r="X73" i="19"/>
  <c r="Y73" i="19" s="1"/>
  <c r="J122" i="19"/>
  <c r="K122" i="19" s="1"/>
  <c r="I123" i="19"/>
  <c r="U76" i="19"/>
  <c r="V76" i="19" s="1"/>
  <c r="AB64" i="19"/>
  <c r="AB67" i="17"/>
  <c r="AA68" i="17" s="1"/>
  <c r="AC68" i="17" s="1"/>
  <c r="AD68" i="17" s="1"/>
  <c r="AE68" i="17" s="1"/>
  <c r="AF68" i="17" s="1"/>
  <c r="K76" i="17"/>
  <c r="J76" i="17"/>
  <c r="I77" i="17"/>
  <c r="L48" i="7"/>
  <c r="P75" i="19" s="1"/>
  <c r="P74" i="17"/>
  <c r="X84" i="17"/>
  <c r="Y84" i="17" s="1"/>
  <c r="I122" i="17"/>
  <c r="J121" i="17"/>
  <c r="K121" i="17" s="1"/>
  <c r="V72" i="17"/>
  <c r="R70" i="8"/>
  <c r="V70" i="8" s="1"/>
  <c r="W70" i="8" s="1"/>
  <c r="P71" i="8"/>
  <c r="Q71" i="8" s="1"/>
  <c r="G74" i="8"/>
  <c r="H74" i="8" s="1"/>
  <c r="T73" i="8"/>
  <c r="U73" i="8" s="1"/>
  <c r="I72" i="8"/>
  <c r="J72" i="8" s="1"/>
  <c r="U36" i="8"/>
  <c r="H118" i="8"/>
  <c r="I118" i="8" s="1"/>
  <c r="J118" i="8" s="1"/>
  <c r="L118" i="8" s="1"/>
  <c r="D47" i="7"/>
  <c r="G46" i="7"/>
  <c r="J46" i="7" s="1"/>
  <c r="K46" i="7" s="1"/>
  <c r="D33" i="5"/>
  <c r="D29" i="21" l="1"/>
  <c r="L29" i="21" s="1"/>
  <c r="F30" i="21"/>
  <c r="N30" i="21" s="1"/>
  <c r="J29" i="21"/>
  <c r="I30" i="21"/>
  <c r="L73" i="19"/>
  <c r="R73" i="19" s="1"/>
  <c r="L73" i="17"/>
  <c r="R73" i="17" s="1"/>
  <c r="E31" i="21" s="1"/>
  <c r="M31" i="21" s="1"/>
  <c r="L119" i="19"/>
  <c r="N119" i="19" s="1"/>
  <c r="L119" i="17"/>
  <c r="N119" i="17" s="1"/>
  <c r="E33" i="5"/>
  <c r="S72" i="19"/>
  <c r="S72" i="17"/>
  <c r="U77" i="19"/>
  <c r="V77" i="19"/>
  <c r="AF38" i="19"/>
  <c r="AI16" i="19" s="1"/>
  <c r="X74" i="19"/>
  <c r="Y74" i="19" s="1"/>
  <c r="J123" i="19"/>
  <c r="K123" i="19" s="1"/>
  <c r="I124" i="19"/>
  <c r="AA65" i="19"/>
  <c r="AC65" i="19" s="1"/>
  <c r="AD65" i="19" s="1"/>
  <c r="AE65" i="19" s="1"/>
  <c r="AF65" i="19" s="1"/>
  <c r="J77" i="17"/>
  <c r="K77" i="17"/>
  <c r="I78" i="17"/>
  <c r="AB68" i="17"/>
  <c r="AA69" i="17" s="1"/>
  <c r="AC69" i="17" s="1"/>
  <c r="AD69" i="17" s="1"/>
  <c r="AE69" i="17" s="1"/>
  <c r="AF69" i="17" s="1"/>
  <c r="L49" i="7"/>
  <c r="P76" i="19" s="1"/>
  <c r="P75" i="17"/>
  <c r="J122" i="17"/>
  <c r="K122" i="17" s="1"/>
  <c r="I123" i="17"/>
  <c r="U73" i="17"/>
  <c r="V73" i="17" s="1"/>
  <c r="U74" i="17" s="1"/>
  <c r="X70" i="8"/>
  <c r="Y70" i="8" s="1"/>
  <c r="R71" i="8"/>
  <c r="V71" i="8" s="1"/>
  <c r="W71" i="8" s="1"/>
  <c r="X71" i="8" s="1"/>
  <c r="Y71" i="8" s="1"/>
  <c r="T74" i="8"/>
  <c r="U74" i="8" s="1"/>
  <c r="G75" i="8"/>
  <c r="H75" i="8" s="1"/>
  <c r="P72" i="8"/>
  <c r="Q72" i="8" s="1"/>
  <c r="I73" i="8"/>
  <c r="J73" i="8" s="1"/>
  <c r="T37" i="8"/>
  <c r="V37" i="8" s="1"/>
  <c r="W37" i="8" s="1"/>
  <c r="X37" i="8" s="1"/>
  <c r="Y37" i="8" s="1"/>
  <c r="H119" i="8"/>
  <c r="I119" i="8" s="1"/>
  <c r="J119" i="8" s="1"/>
  <c r="L119" i="8" s="1"/>
  <c r="D34" i="5"/>
  <c r="D48" i="7"/>
  <c r="G47" i="7"/>
  <c r="J47" i="7" s="1"/>
  <c r="K47" i="7" s="1"/>
  <c r="D30" i="21" l="1"/>
  <c r="L30" i="21" s="1"/>
  <c r="H29" i="21"/>
  <c r="H30" i="21" s="1"/>
  <c r="F31" i="21"/>
  <c r="N31" i="21" s="1"/>
  <c r="J30" i="21"/>
  <c r="I31" i="21"/>
  <c r="L74" i="19"/>
  <c r="R74" i="19" s="1"/>
  <c r="L120" i="19"/>
  <c r="N120" i="19" s="1"/>
  <c r="L74" i="17"/>
  <c r="R74" i="17" s="1"/>
  <c r="E32" i="21" s="1"/>
  <c r="M32" i="21" s="1"/>
  <c r="L120" i="17"/>
  <c r="N120" i="17" s="1"/>
  <c r="E34" i="5"/>
  <c r="S73" i="19"/>
  <c r="S73" i="17"/>
  <c r="AI17" i="19"/>
  <c r="AI18" i="19" s="1"/>
  <c r="I125" i="19"/>
  <c r="J124" i="19"/>
  <c r="K124" i="19" s="1"/>
  <c r="U78" i="19"/>
  <c r="V78" i="19" s="1"/>
  <c r="X75" i="19"/>
  <c r="Y75" i="19" s="1"/>
  <c r="AB65" i="19"/>
  <c r="J78" i="17"/>
  <c r="K78" i="17"/>
  <c r="I79" i="17"/>
  <c r="L50" i="7"/>
  <c r="P77" i="19" s="1"/>
  <c r="P76" i="17"/>
  <c r="AB69" i="17"/>
  <c r="AA70" i="17" s="1"/>
  <c r="AC70" i="17" s="1"/>
  <c r="AD70" i="17" s="1"/>
  <c r="AE70" i="17" s="1"/>
  <c r="AF70" i="17" s="1"/>
  <c r="I124" i="17"/>
  <c r="J123" i="17"/>
  <c r="K123" i="17" s="1"/>
  <c r="V74" i="17"/>
  <c r="R72" i="8"/>
  <c r="V72" i="8" s="1"/>
  <c r="W72" i="8" s="1"/>
  <c r="P73" i="8"/>
  <c r="Q73" i="8" s="1"/>
  <c r="D31" i="21" s="1"/>
  <c r="L31" i="21" s="1"/>
  <c r="T75" i="8"/>
  <c r="U75" i="8" s="1"/>
  <c r="I74" i="8"/>
  <c r="J74" i="8" s="1"/>
  <c r="G76" i="8"/>
  <c r="H76" i="8" s="1"/>
  <c r="U37" i="8"/>
  <c r="H120" i="8"/>
  <c r="I120" i="8" s="1"/>
  <c r="J120" i="8" s="1"/>
  <c r="L120" i="8" s="1"/>
  <c r="D49" i="7"/>
  <c r="G48" i="7"/>
  <c r="J48" i="7" s="1"/>
  <c r="K48" i="7" s="1"/>
  <c r="D35" i="5"/>
  <c r="J31" i="21" l="1"/>
  <c r="F32" i="21"/>
  <c r="N32" i="21" s="1"/>
  <c r="R73" i="8"/>
  <c r="V73" i="8" s="1"/>
  <c r="W73" i="8" s="1"/>
  <c r="X73" i="8" s="1"/>
  <c r="Y73" i="8" s="1"/>
  <c r="H31" i="21"/>
  <c r="I32" i="21"/>
  <c r="L75" i="19"/>
  <c r="R75" i="19" s="1"/>
  <c r="L75" i="17"/>
  <c r="R75" i="17" s="1"/>
  <c r="E33" i="21" s="1"/>
  <c r="M33" i="21" s="1"/>
  <c r="L121" i="19"/>
  <c r="N121" i="19" s="1"/>
  <c r="L121" i="17"/>
  <c r="N121" i="17" s="1"/>
  <c r="E35" i="5"/>
  <c r="S74" i="19"/>
  <c r="S74" i="17"/>
  <c r="X76" i="19"/>
  <c r="Y76" i="19" s="1"/>
  <c r="I126" i="19"/>
  <c r="J125" i="19"/>
  <c r="K125" i="19" s="1"/>
  <c r="AA66" i="19"/>
  <c r="AC66" i="19" s="1"/>
  <c r="AD66" i="19" s="1"/>
  <c r="AE66" i="19" s="1"/>
  <c r="AF66" i="19" s="1"/>
  <c r="U79" i="19"/>
  <c r="V79" i="19" s="1"/>
  <c r="I80" i="17"/>
  <c r="K79" i="17"/>
  <c r="J79" i="17"/>
  <c r="AB70" i="17"/>
  <c r="AA71" i="17" s="1"/>
  <c r="L51" i="7"/>
  <c r="P78" i="19" s="1"/>
  <c r="P77" i="17"/>
  <c r="J124" i="17"/>
  <c r="K124" i="17" s="1"/>
  <c r="I125" i="17"/>
  <c r="AB71" i="17"/>
  <c r="AC71" i="17"/>
  <c r="AD71" i="17" s="1"/>
  <c r="AE71" i="17" s="1"/>
  <c r="AF71" i="17" s="1"/>
  <c r="U75" i="17"/>
  <c r="X72" i="8"/>
  <c r="Y72" i="8" s="1"/>
  <c r="P74" i="8"/>
  <c r="Q74" i="8" s="1"/>
  <c r="D32" i="21" s="1"/>
  <c r="L32" i="21" s="1"/>
  <c r="T76" i="8"/>
  <c r="U76" i="8" s="1"/>
  <c r="I75" i="8"/>
  <c r="J75" i="8" s="1"/>
  <c r="G77" i="8"/>
  <c r="H77" i="8" s="1"/>
  <c r="T38" i="8"/>
  <c r="H121" i="8"/>
  <c r="I121" i="8" s="1"/>
  <c r="J121" i="8" s="1"/>
  <c r="L121" i="8" s="1"/>
  <c r="D36" i="5"/>
  <c r="G49" i="7"/>
  <c r="J49" i="7" s="1"/>
  <c r="K49" i="7" s="1"/>
  <c r="D50" i="7"/>
  <c r="F33" i="21" l="1"/>
  <c r="N33" i="21" s="1"/>
  <c r="J32" i="21"/>
  <c r="R74" i="8"/>
  <c r="H32" i="21"/>
  <c r="I33" i="21"/>
  <c r="L76" i="19"/>
  <c r="R76" i="19" s="1"/>
  <c r="L76" i="17"/>
  <c r="R76" i="17" s="1"/>
  <c r="E34" i="21" s="1"/>
  <c r="M34" i="21" s="1"/>
  <c r="L122" i="19"/>
  <c r="N122" i="19" s="1"/>
  <c r="L122" i="17"/>
  <c r="N122" i="17" s="1"/>
  <c r="E36" i="5"/>
  <c r="S75" i="19"/>
  <c r="S75" i="17"/>
  <c r="AB66" i="19"/>
  <c r="AA67" i="19" s="1"/>
  <c r="AC67" i="19" s="1"/>
  <c r="AD67" i="19" s="1"/>
  <c r="AE67" i="19" s="1"/>
  <c r="AF67" i="19" s="1"/>
  <c r="U80" i="19"/>
  <c r="V80" i="19" s="1"/>
  <c r="J126" i="19"/>
  <c r="K126" i="19" s="1"/>
  <c r="I127" i="19"/>
  <c r="X77" i="19"/>
  <c r="Y77" i="19" s="1"/>
  <c r="J80" i="17"/>
  <c r="K80" i="17"/>
  <c r="I81" i="17"/>
  <c r="L52" i="7"/>
  <c r="P79" i="19" s="1"/>
  <c r="P78" i="17"/>
  <c r="I126" i="17"/>
  <c r="J125" i="17"/>
  <c r="K125" i="17" s="1"/>
  <c r="AA72" i="17"/>
  <c r="AC72" i="17" s="1"/>
  <c r="AD72" i="17" s="1"/>
  <c r="AE72" i="17" s="1"/>
  <c r="AF72" i="17" s="1"/>
  <c r="V75" i="17"/>
  <c r="V74" i="8"/>
  <c r="W74" i="8" s="1"/>
  <c r="X74" i="8" s="1"/>
  <c r="Y74" i="8" s="1"/>
  <c r="T77" i="8"/>
  <c r="U77" i="8" s="1"/>
  <c r="G78" i="8"/>
  <c r="H78" i="8" s="1"/>
  <c r="I76" i="8"/>
  <c r="J76" i="8" s="1"/>
  <c r="P75" i="8"/>
  <c r="Q75" i="8" s="1"/>
  <c r="D33" i="21" s="1"/>
  <c r="L33" i="21" s="1"/>
  <c r="U38" i="8"/>
  <c r="P38" i="8" s="1"/>
  <c r="Q38" i="8" s="1"/>
  <c r="R38" i="8" s="1"/>
  <c r="H122" i="8"/>
  <c r="I122" i="8" s="1"/>
  <c r="J122" i="8" s="1"/>
  <c r="L122" i="8" s="1"/>
  <c r="D37" i="5"/>
  <c r="D51" i="7"/>
  <c r="G50" i="7"/>
  <c r="J50" i="7" s="1"/>
  <c r="K50" i="7" s="1"/>
  <c r="J33" i="21" l="1"/>
  <c r="F34" i="21"/>
  <c r="N34" i="21" s="1"/>
  <c r="H33" i="21"/>
  <c r="I34" i="21"/>
  <c r="L77" i="19"/>
  <c r="R77" i="19" s="1"/>
  <c r="L77" i="17"/>
  <c r="R77" i="17" s="1"/>
  <c r="E35" i="21" s="1"/>
  <c r="M35" i="21" s="1"/>
  <c r="L123" i="19"/>
  <c r="N123" i="19" s="1"/>
  <c r="L123" i="17"/>
  <c r="N123" i="17" s="1"/>
  <c r="E37" i="5"/>
  <c r="S76" i="19"/>
  <c r="S76" i="17"/>
  <c r="X78" i="19"/>
  <c r="Y78" i="19" s="1"/>
  <c r="J127" i="19"/>
  <c r="K127" i="19" s="1"/>
  <c r="I128" i="19"/>
  <c r="U81" i="19"/>
  <c r="V81" i="19" s="1"/>
  <c r="AB67" i="19"/>
  <c r="K81" i="17"/>
  <c r="J81" i="17"/>
  <c r="I82" i="17"/>
  <c r="AB72" i="17"/>
  <c r="AA73" i="17" s="1"/>
  <c r="AC73" i="17" s="1"/>
  <c r="AD73" i="17" s="1"/>
  <c r="AE73" i="17" s="1"/>
  <c r="AF73" i="17" s="1"/>
  <c r="L53" i="7"/>
  <c r="P80" i="19" s="1"/>
  <c r="P79" i="17"/>
  <c r="J126" i="17"/>
  <c r="K126" i="17" s="1"/>
  <c r="I127" i="17"/>
  <c r="U76" i="17"/>
  <c r="R75" i="8"/>
  <c r="V75" i="8" s="1"/>
  <c r="W75" i="8" s="1"/>
  <c r="V38" i="8"/>
  <c r="W38" i="8" s="1"/>
  <c r="X38" i="8" s="1"/>
  <c r="Y38" i="8" s="1"/>
  <c r="T78" i="8"/>
  <c r="U78" i="8" s="1"/>
  <c r="G79" i="8"/>
  <c r="H79" i="8" s="1"/>
  <c r="I77" i="8"/>
  <c r="J77" i="8" s="1"/>
  <c r="P76" i="8"/>
  <c r="Q76" i="8" s="1"/>
  <c r="H123" i="8"/>
  <c r="I123" i="8" s="1"/>
  <c r="J123" i="8" s="1"/>
  <c r="L123" i="8" s="1"/>
  <c r="D38" i="5"/>
  <c r="D52" i="7"/>
  <c r="G51" i="7"/>
  <c r="J51" i="7" s="1"/>
  <c r="K51" i="7" s="1"/>
  <c r="D34" i="21" l="1"/>
  <c r="L34" i="21" s="1"/>
  <c r="F35" i="21"/>
  <c r="N35" i="21" s="1"/>
  <c r="J34" i="21"/>
  <c r="J35" i="21" s="1"/>
  <c r="I35" i="21"/>
  <c r="L78" i="19"/>
  <c r="R78" i="19" s="1"/>
  <c r="L78" i="17"/>
  <c r="R78" i="17" s="1"/>
  <c r="E36" i="21" s="1"/>
  <c r="M36" i="21" s="1"/>
  <c r="L124" i="19"/>
  <c r="N124" i="19" s="1"/>
  <c r="L124" i="17"/>
  <c r="N124" i="17" s="1"/>
  <c r="E38" i="5"/>
  <c r="S77" i="19"/>
  <c r="S77" i="17"/>
  <c r="X79" i="19"/>
  <c r="Y79" i="19" s="1"/>
  <c r="I129" i="19"/>
  <c r="J128" i="19"/>
  <c r="K128" i="19" s="1"/>
  <c r="AA68" i="19"/>
  <c r="AC68" i="19" s="1"/>
  <c r="AD68" i="19" s="1"/>
  <c r="AE68" i="19" s="1"/>
  <c r="AF68" i="19" s="1"/>
  <c r="U82" i="19"/>
  <c r="V82" i="19" s="1"/>
  <c r="AB73" i="17"/>
  <c r="AA74" i="17" s="1"/>
  <c r="AC74" i="17" s="1"/>
  <c r="AD74" i="17" s="1"/>
  <c r="AE74" i="17" s="1"/>
  <c r="AF74" i="17" s="1"/>
  <c r="K82" i="17"/>
  <c r="J82" i="17"/>
  <c r="I83" i="17"/>
  <c r="L54" i="7"/>
  <c r="P81" i="19" s="1"/>
  <c r="P80" i="17"/>
  <c r="I128" i="17"/>
  <c r="J127" i="17"/>
  <c r="K127" i="17" s="1"/>
  <c r="V76" i="17"/>
  <c r="R76" i="8"/>
  <c r="V76" i="8" s="1"/>
  <c r="W76" i="8" s="1"/>
  <c r="X75" i="8"/>
  <c r="Y75" i="8" s="1"/>
  <c r="AB15" i="8"/>
  <c r="AB16" i="8"/>
  <c r="AB17" i="8"/>
  <c r="AB18" i="8" s="1"/>
  <c r="T79" i="8"/>
  <c r="U79" i="8" s="1"/>
  <c r="I78" i="8"/>
  <c r="J78" i="8" s="1"/>
  <c r="P77" i="8"/>
  <c r="Q77" i="8" s="1"/>
  <c r="G80" i="8"/>
  <c r="H80" i="8" s="1"/>
  <c r="H124" i="8"/>
  <c r="I124" i="8" s="1"/>
  <c r="J124" i="8" s="1"/>
  <c r="L124" i="8" s="1"/>
  <c r="D39" i="5"/>
  <c r="D53" i="7"/>
  <c r="G52" i="7"/>
  <c r="J52" i="7" s="1"/>
  <c r="K52" i="7" s="1"/>
  <c r="D35" i="21" l="1"/>
  <c r="L35" i="21" s="1"/>
  <c r="H34" i="21"/>
  <c r="H35" i="21" s="1"/>
  <c r="F36" i="21"/>
  <c r="N36" i="21" s="1"/>
  <c r="I36" i="21"/>
  <c r="L79" i="19"/>
  <c r="R79" i="19" s="1"/>
  <c r="L125" i="19"/>
  <c r="N125" i="19" s="1"/>
  <c r="L79" i="17"/>
  <c r="R79" i="17" s="1"/>
  <c r="E37" i="21" s="1"/>
  <c r="M37" i="21" s="1"/>
  <c r="L125" i="17"/>
  <c r="N125" i="17" s="1"/>
  <c r="E39" i="5"/>
  <c r="S78" i="19"/>
  <c r="S78" i="17"/>
  <c r="AB74" i="17"/>
  <c r="AA75" i="17" s="1"/>
  <c r="AC75" i="17" s="1"/>
  <c r="AD75" i="17" s="1"/>
  <c r="AE75" i="17" s="1"/>
  <c r="AF75" i="17" s="1"/>
  <c r="AB68" i="19"/>
  <c r="AA69" i="19" s="1"/>
  <c r="AC69" i="19" s="1"/>
  <c r="AD69" i="19" s="1"/>
  <c r="AE69" i="19" s="1"/>
  <c r="AF69" i="19" s="1"/>
  <c r="U83" i="19"/>
  <c r="V83" i="19" s="1"/>
  <c r="X80" i="19"/>
  <c r="Y80" i="19" s="1"/>
  <c r="I130" i="19"/>
  <c r="J130" i="19" s="1"/>
  <c r="K130" i="19" s="1"/>
  <c r="J129" i="19"/>
  <c r="K129" i="19" s="1"/>
  <c r="K83" i="17"/>
  <c r="I84" i="17"/>
  <c r="J83" i="17"/>
  <c r="L55" i="7"/>
  <c r="P82" i="19" s="1"/>
  <c r="P81" i="17"/>
  <c r="J128" i="17"/>
  <c r="K128" i="17" s="1"/>
  <c r="I129" i="17"/>
  <c r="U77" i="17"/>
  <c r="V77" i="17" s="1"/>
  <c r="R77" i="8"/>
  <c r="V77" i="8" s="1"/>
  <c r="W77" i="8" s="1"/>
  <c r="X76" i="8"/>
  <c r="Y76" i="8" s="1"/>
  <c r="P78" i="8"/>
  <c r="Q78" i="8" s="1"/>
  <c r="D36" i="21" s="1"/>
  <c r="L36" i="21" s="1"/>
  <c r="I79" i="8"/>
  <c r="J79" i="8" s="1"/>
  <c r="G81" i="8"/>
  <c r="H81" i="8" s="1"/>
  <c r="T80" i="8"/>
  <c r="U80" i="8" s="1"/>
  <c r="H125" i="8"/>
  <c r="I125" i="8" s="1"/>
  <c r="J125" i="8" s="1"/>
  <c r="L125" i="8" s="1"/>
  <c r="D40" i="5"/>
  <c r="G53" i="7"/>
  <c r="J53" i="7" s="1"/>
  <c r="K53" i="7" s="1"/>
  <c r="D54" i="7"/>
  <c r="F37" i="21" l="1"/>
  <c r="N37" i="21" s="1"/>
  <c r="J36" i="21"/>
  <c r="J37" i="21" s="1"/>
  <c r="R78" i="8"/>
  <c r="H36" i="21"/>
  <c r="I37" i="21"/>
  <c r="L80" i="19"/>
  <c r="R80" i="19" s="1"/>
  <c r="L126" i="19"/>
  <c r="N126" i="19" s="1"/>
  <c r="L80" i="17"/>
  <c r="R80" i="17" s="1"/>
  <c r="E38" i="21" s="1"/>
  <c r="M38" i="21" s="1"/>
  <c r="L126" i="17"/>
  <c r="N126" i="17" s="1"/>
  <c r="E40" i="5"/>
  <c r="S79" i="19"/>
  <c r="S79" i="17"/>
  <c r="AB75" i="17"/>
  <c r="AA76" i="17" s="1"/>
  <c r="X81" i="19"/>
  <c r="Y81" i="19" s="1"/>
  <c r="AB69" i="19"/>
  <c r="U84" i="19"/>
  <c r="V84" i="19" s="1"/>
  <c r="K84" i="17"/>
  <c r="J84" i="17"/>
  <c r="L56" i="7"/>
  <c r="P83" i="19" s="1"/>
  <c r="P82" i="17"/>
  <c r="I130" i="17"/>
  <c r="J130" i="17" s="1"/>
  <c r="K130" i="17" s="1"/>
  <c r="J129" i="17"/>
  <c r="K129" i="17" s="1"/>
  <c r="AB76" i="17"/>
  <c r="AC76" i="17"/>
  <c r="AD76" i="17" s="1"/>
  <c r="AE76" i="17" s="1"/>
  <c r="AF76" i="17" s="1"/>
  <c r="U78" i="17"/>
  <c r="V78" i="17" s="1"/>
  <c r="U79" i="17" s="1"/>
  <c r="X77" i="8"/>
  <c r="Y77" i="8" s="1"/>
  <c r="V78" i="8"/>
  <c r="W78" i="8" s="1"/>
  <c r="X78" i="8" s="1"/>
  <c r="Y78" i="8" s="1"/>
  <c r="T81" i="8"/>
  <c r="U81" i="8" s="1"/>
  <c r="P79" i="8"/>
  <c r="Q79" i="8" s="1"/>
  <c r="D37" i="21" s="1"/>
  <c r="L37" i="21" s="1"/>
  <c r="G82" i="8"/>
  <c r="H82" i="8" s="1"/>
  <c r="I80" i="8"/>
  <c r="J80" i="8" s="1"/>
  <c r="H126" i="8"/>
  <c r="I126" i="8" s="1"/>
  <c r="J126" i="8" s="1"/>
  <c r="L126" i="8" s="1"/>
  <c r="D55" i="7"/>
  <c r="G54" i="7"/>
  <c r="J54" i="7" s="1"/>
  <c r="K54" i="7" s="1"/>
  <c r="D41" i="5"/>
  <c r="F38" i="21" l="1"/>
  <c r="N38" i="21" s="1"/>
  <c r="H37" i="21"/>
  <c r="I38" i="21"/>
  <c r="L81" i="19"/>
  <c r="R81" i="19" s="1"/>
  <c r="L127" i="19"/>
  <c r="N127" i="19" s="1"/>
  <c r="L81" i="17"/>
  <c r="R81" i="17" s="1"/>
  <c r="E39" i="21" s="1"/>
  <c r="M39" i="21" s="1"/>
  <c r="L127" i="17"/>
  <c r="N127" i="17" s="1"/>
  <c r="E41" i="5"/>
  <c r="S80" i="19"/>
  <c r="S80" i="17"/>
  <c r="X82" i="19"/>
  <c r="Y82" i="19" s="1"/>
  <c r="AA70" i="19"/>
  <c r="AC70" i="19" s="1"/>
  <c r="AD70" i="19" s="1"/>
  <c r="AE70" i="19" s="1"/>
  <c r="AF70" i="19" s="1"/>
  <c r="L57" i="7"/>
  <c r="P83" i="17"/>
  <c r="AA77" i="17"/>
  <c r="AC77" i="17" s="1"/>
  <c r="AD77" i="17" s="1"/>
  <c r="AE77" i="17" s="1"/>
  <c r="AF77" i="17" s="1"/>
  <c r="V79" i="17"/>
  <c r="U80" i="17" s="1"/>
  <c r="R79" i="8"/>
  <c r="V79" i="8" s="1"/>
  <c r="W79" i="8" s="1"/>
  <c r="T82" i="8"/>
  <c r="U82" i="8" s="1"/>
  <c r="I81" i="8"/>
  <c r="J81" i="8" s="1"/>
  <c r="P80" i="8"/>
  <c r="Q80" i="8" s="1"/>
  <c r="D38" i="21" s="1"/>
  <c r="L38" i="21" s="1"/>
  <c r="G83" i="8"/>
  <c r="H83" i="8" s="1"/>
  <c r="H127" i="8"/>
  <c r="I127" i="8" s="1"/>
  <c r="J127" i="8" s="1"/>
  <c r="L127" i="8" s="1"/>
  <c r="D42" i="5"/>
  <c r="D56" i="7"/>
  <c r="G55" i="7"/>
  <c r="J55" i="7" s="1"/>
  <c r="K55" i="7" s="1"/>
  <c r="F39" i="21" l="1"/>
  <c r="N39" i="21" s="1"/>
  <c r="J38" i="21"/>
  <c r="J39" i="21" s="1"/>
  <c r="H38" i="21"/>
  <c r="I39" i="21"/>
  <c r="L82" i="19"/>
  <c r="R82" i="19" s="1"/>
  <c r="L82" i="17"/>
  <c r="R82" i="17" s="1"/>
  <c r="E40" i="21" s="1"/>
  <c r="M40" i="21" s="1"/>
  <c r="L128" i="19"/>
  <c r="L128" i="17"/>
  <c r="N128" i="17" s="1"/>
  <c r="E42" i="5"/>
  <c r="S81" i="19"/>
  <c r="S81" i="17"/>
  <c r="P84" i="17"/>
  <c r="P84" i="19"/>
  <c r="X83" i="19"/>
  <c r="Y83" i="19" s="1"/>
  <c r="AB70" i="19"/>
  <c r="AB77" i="17"/>
  <c r="AA78" i="17" s="1"/>
  <c r="AB78" i="17" s="1"/>
  <c r="AA79" i="17" s="1"/>
  <c r="AB79" i="17" s="1"/>
  <c r="AA80" i="17" s="1"/>
  <c r="AB80" i="17" s="1"/>
  <c r="AA81" i="17" s="1"/>
  <c r="AB81" i="17" s="1"/>
  <c r="AA82" i="17" s="1"/>
  <c r="AB82" i="17" s="1"/>
  <c r="AA83" i="17" s="1"/>
  <c r="AB83" i="17" s="1"/>
  <c r="AA84" i="17" s="1"/>
  <c r="AB84" i="17" s="1"/>
  <c r="V80" i="17"/>
  <c r="R80" i="8"/>
  <c r="V80" i="8" s="1"/>
  <c r="W80" i="8" s="1"/>
  <c r="X79" i="8"/>
  <c r="Y79" i="8" s="1"/>
  <c r="T83" i="8"/>
  <c r="U83" i="8" s="1"/>
  <c r="G84" i="8"/>
  <c r="P81" i="8"/>
  <c r="Q81" i="8" s="1"/>
  <c r="D39" i="21" s="1"/>
  <c r="L39" i="21" s="1"/>
  <c r="I82" i="8"/>
  <c r="J82" i="8" s="1"/>
  <c r="H128" i="8"/>
  <c r="I128" i="8" s="1"/>
  <c r="J128" i="8" s="1"/>
  <c r="L128" i="8" s="1"/>
  <c r="D43" i="5"/>
  <c r="D57" i="7"/>
  <c r="G57" i="7" s="1"/>
  <c r="J57" i="7" s="1"/>
  <c r="K57" i="7" s="1"/>
  <c r="G56" i="7"/>
  <c r="J56" i="7" s="1"/>
  <c r="K56" i="7" s="1"/>
  <c r="F40" i="21" l="1"/>
  <c r="N40" i="21" s="1"/>
  <c r="H39" i="21"/>
  <c r="I40" i="21"/>
  <c r="L84" i="19"/>
  <c r="L130" i="19"/>
  <c r="L130" i="17"/>
  <c r="L84" i="17"/>
  <c r="N128" i="19"/>
  <c r="L83" i="19"/>
  <c r="R83" i="19" s="1"/>
  <c r="L129" i="19"/>
  <c r="N129" i="19" s="1"/>
  <c r="L83" i="17"/>
  <c r="R83" i="17" s="1"/>
  <c r="E41" i="21" s="1"/>
  <c r="M41" i="21" s="1"/>
  <c r="L129" i="17"/>
  <c r="N129" i="17" s="1"/>
  <c r="E43" i="5"/>
  <c r="S82" i="19"/>
  <c r="S82" i="17"/>
  <c r="X84" i="19"/>
  <c r="Y84" i="19" s="1"/>
  <c r="AA71" i="19"/>
  <c r="AC71" i="19" s="1"/>
  <c r="AD71" i="19" s="1"/>
  <c r="AE71" i="19" s="1"/>
  <c r="AF71" i="19" s="1"/>
  <c r="AC79" i="17"/>
  <c r="AD79" i="17" s="1"/>
  <c r="AE79" i="17" s="1"/>
  <c r="AF79" i="17" s="1"/>
  <c r="AC78" i="17"/>
  <c r="AD78" i="17" s="1"/>
  <c r="AE78" i="17" s="1"/>
  <c r="AF78" i="17" s="1"/>
  <c r="AC80" i="17"/>
  <c r="AD80" i="17" s="1"/>
  <c r="AE80" i="17" s="1"/>
  <c r="AF80" i="17" s="1"/>
  <c r="U81" i="17"/>
  <c r="AC81" i="17" s="1"/>
  <c r="AD81" i="17" s="1"/>
  <c r="AE81" i="17" s="1"/>
  <c r="AF81" i="17" s="1"/>
  <c r="R81" i="8"/>
  <c r="V81" i="8" s="1"/>
  <c r="W81" i="8" s="1"/>
  <c r="X80" i="8"/>
  <c r="Y80" i="8" s="1"/>
  <c r="H84" i="8"/>
  <c r="I84" i="8" s="1"/>
  <c r="J84" i="8" s="1"/>
  <c r="T84" i="8"/>
  <c r="U84" i="8" s="1"/>
  <c r="P84" i="8" s="1"/>
  <c r="I83" i="8"/>
  <c r="J83" i="8" s="1"/>
  <c r="P82" i="8"/>
  <c r="Q82" i="8" s="1"/>
  <c r="D40" i="21" s="1"/>
  <c r="L40" i="21" s="1"/>
  <c r="H129" i="8"/>
  <c r="I129" i="8" s="1"/>
  <c r="J129" i="8" s="1"/>
  <c r="L129" i="8" s="1"/>
  <c r="D44" i="5"/>
  <c r="D45" i="5"/>
  <c r="F41" i="21" l="1"/>
  <c r="N41" i="21" s="1"/>
  <c r="J40" i="21"/>
  <c r="J41" i="21" s="1"/>
  <c r="H40" i="21"/>
  <c r="I41" i="21"/>
  <c r="N130" i="19"/>
  <c r="O126" i="19" s="1"/>
  <c r="N130" i="17"/>
  <c r="O106" i="17" s="1"/>
  <c r="E44" i="5"/>
  <c r="S83" i="19"/>
  <c r="S83" i="17"/>
  <c r="AB71" i="19"/>
  <c r="V81" i="17"/>
  <c r="U82" i="17" s="1"/>
  <c r="AC82" i="17" s="1"/>
  <c r="AD82" i="17" s="1"/>
  <c r="AE82" i="17" s="1"/>
  <c r="AF82" i="17" s="1"/>
  <c r="R82" i="8"/>
  <c r="V82" i="8" s="1"/>
  <c r="W82" i="8" s="1"/>
  <c r="X81" i="8"/>
  <c r="Y81" i="8" s="1"/>
  <c r="Q84" i="8"/>
  <c r="D42" i="21" s="1"/>
  <c r="L42" i="21" s="1"/>
  <c r="P83" i="8"/>
  <c r="Q83" i="8" s="1"/>
  <c r="D41" i="21" s="1"/>
  <c r="L41" i="21" s="1"/>
  <c r="H130" i="8"/>
  <c r="I130" i="8" s="1"/>
  <c r="J130" i="8" s="1"/>
  <c r="L130" i="8" s="1"/>
  <c r="E45" i="5"/>
  <c r="H7" i="5"/>
  <c r="O122" i="19" l="1"/>
  <c r="O103" i="19"/>
  <c r="O110" i="19"/>
  <c r="O123" i="19"/>
  <c r="O114" i="19"/>
  <c r="O117" i="19"/>
  <c r="O119" i="17"/>
  <c r="O105" i="19"/>
  <c r="O101" i="19"/>
  <c r="O129" i="17"/>
  <c r="O96" i="17"/>
  <c r="O116" i="19"/>
  <c r="O96" i="19"/>
  <c r="O112" i="19"/>
  <c r="O128" i="19"/>
  <c r="O95" i="19"/>
  <c r="O93" i="19"/>
  <c r="O127" i="19"/>
  <c r="O99" i="19"/>
  <c r="O92" i="19"/>
  <c r="O119" i="19"/>
  <c r="O115" i="19"/>
  <c r="O104" i="19"/>
  <c r="O98" i="19"/>
  <c r="O102" i="19"/>
  <c r="O124" i="19"/>
  <c r="O113" i="19"/>
  <c r="O121" i="19"/>
  <c r="O94" i="19"/>
  <c r="O106" i="19"/>
  <c r="O107" i="19"/>
  <c r="R83" i="8"/>
  <c r="H41" i="21"/>
  <c r="O125" i="19"/>
  <c r="O109" i="19"/>
  <c r="O129" i="19"/>
  <c r="O130" i="19"/>
  <c r="O108" i="19"/>
  <c r="O118" i="19"/>
  <c r="O111" i="19"/>
  <c r="O120" i="19"/>
  <c r="O100" i="19"/>
  <c r="O91" i="19"/>
  <c r="R84" i="8"/>
  <c r="V84" i="8" s="1"/>
  <c r="W84" i="8" s="1"/>
  <c r="X84" i="8" s="1"/>
  <c r="Y84" i="8" s="1"/>
  <c r="O97" i="19"/>
  <c r="O117" i="17"/>
  <c r="O112" i="17"/>
  <c r="O121" i="17"/>
  <c r="O109" i="17"/>
  <c r="O127" i="17"/>
  <c r="O100" i="17"/>
  <c r="O128" i="17"/>
  <c r="O92" i="17"/>
  <c r="O125" i="17"/>
  <c r="O111" i="17"/>
  <c r="O110" i="17"/>
  <c r="O108" i="17"/>
  <c r="O122" i="17"/>
  <c r="O97" i="17"/>
  <c r="O118" i="17"/>
  <c r="O115" i="17"/>
  <c r="O99" i="17"/>
  <c r="O103" i="17"/>
  <c r="O116" i="17"/>
  <c r="O105" i="17"/>
  <c r="O91" i="17"/>
  <c r="O126" i="17"/>
  <c r="O102" i="17"/>
  <c r="O94" i="17"/>
  <c r="O95" i="17"/>
  <c r="O113" i="17"/>
  <c r="O104" i="17"/>
  <c r="O120" i="17"/>
  <c r="O130" i="17"/>
  <c r="O93" i="17"/>
  <c r="O123" i="17"/>
  <c r="O101" i="17"/>
  <c r="O124" i="17"/>
  <c r="O98" i="17"/>
  <c r="O114" i="17"/>
  <c r="O107" i="17"/>
  <c r="I7" i="5"/>
  <c r="H13" i="5" s="1"/>
  <c r="AA72" i="19"/>
  <c r="AC72" i="19" s="1"/>
  <c r="AD72" i="19" s="1"/>
  <c r="AE72" i="19" s="1"/>
  <c r="AF72" i="19" s="1"/>
  <c r="V82" i="17"/>
  <c r="U83" i="17" s="1"/>
  <c r="AC83" i="17" s="1"/>
  <c r="AD83" i="17" s="1"/>
  <c r="AE83" i="17" s="1"/>
  <c r="AF83" i="17" s="1"/>
  <c r="X82" i="8"/>
  <c r="Y82" i="8" s="1"/>
  <c r="N92" i="8"/>
  <c r="N96" i="8"/>
  <c r="N104" i="8"/>
  <c r="N126" i="8"/>
  <c r="N123" i="8"/>
  <c r="N121" i="8"/>
  <c r="N101" i="8"/>
  <c r="N113" i="8"/>
  <c r="N97" i="8"/>
  <c r="N115" i="8"/>
  <c r="N130" i="8"/>
  <c r="N91" i="8"/>
  <c r="N125" i="8"/>
  <c r="N128" i="8"/>
  <c r="N99" i="8"/>
  <c r="N93" i="8"/>
  <c r="N120" i="8"/>
  <c r="N119" i="8"/>
  <c r="N98" i="8"/>
  <c r="N124" i="8"/>
  <c r="N102" i="8"/>
  <c r="N106" i="8"/>
  <c r="N112" i="8"/>
  <c r="N109" i="8"/>
  <c r="N110" i="8"/>
  <c r="N117" i="8"/>
  <c r="N116" i="8"/>
  <c r="N103" i="8"/>
  <c r="N105" i="8"/>
  <c r="N108" i="8"/>
  <c r="N111" i="8"/>
  <c r="N95" i="8"/>
  <c r="N94" i="8"/>
  <c r="N118" i="8"/>
  <c r="N114" i="8"/>
  <c r="N127" i="8"/>
  <c r="N107" i="8"/>
  <c r="N100" i="8"/>
  <c r="N122" i="8"/>
  <c r="N129" i="8"/>
  <c r="H42" i="21" l="1"/>
  <c r="AB72" i="19"/>
  <c r="AA73" i="19" s="1"/>
  <c r="AC73" i="19" s="1"/>
  <c r="AD73" i="19" s="1"/>
  <c r="AE73" i="19" s="1"/>
  <c r="AF73" i="19" s="1"/>
  <c r="V83" i="17"/>
  <c r="U84" i="17" s="1"/>
  <c r="V84" i="17" s="1"/>
  <c r="Q84" i="17" s="1"/>
  <c r="R84" i="17" s="1"/>
  <c r="E42" i="21" s="1"/>
  <c r="M42" i="21" s="1"/>
  <c r="V83" i="8"/>
  <c r="W83" i="8" s="1"/>
  <c r="X83" i="8" s="1"/>
  <c r="S84" i="17" l="1"/>
  <c r="AC84" i="17" s="1"/>
  <c r="AD84" i="17" s="1"/>
  <c r="I42" i="21"/>
  <c r="AB73" i="19"/>
  <c r="Y83" i="8"/>
  <c r="AB42" i="8" s="1"/>
  <c r="AB41" i="8"/>
  <c r="AE84" i="17" l="1"/>
  <c r="AF84" i="17" s="1"/>
  <c r="AI42" i="17" s="1"/>
  <c r="AA74" i="19"/>
  <c r="AC74" i="19" s="1"/>
  <c r="AD74" i="19" s="1"/>
  <c r="AE74" i="19" s="1"/>
  <c r="AF74" i="19" s="1"/>
  <c r="AB43" i="8"/>
  <c r="AB44" i="8" s="1"/>
  <c r="V12" i="17"/>
  <c r="Q12" i="17" s="1"/>
  <c r="R12" i="17" s="1"/>
  <c r="S12" i="17" s="1"/>
  <c r="AC12" i="17" s="1"/>
  <c r="AD12" i="17" s="1"/>
  <c r="AE12" i="17" s="1"/>
  <c r="AI41" i="17" l="1"/>
  <c r="AI40" i="17"/>
  <c r="AB74" i="19"/>
  <c r="AA75" i="19" s="1"/>
  <c r="AC75" i="19" s="1"/>
  <c r="AD75" i="19" s="1"/>
  <c r="AE75" i="19" s="1"/>
  <c r="AF75" i="19" s="1"/>
  <c r="AF12" i="17"/>
  <c r="AI4" i="17"/>
  <c r="AI43" i="17"/>
  <c r="AB75" i="19" l="1"/>
  <c r="AI5" i="17"/>
  <c r="AI6" i="17"/>
  <c r="AI7" i="17" s="1"/>
  <c r="AA76" i="19" l="1"/>
  <c r="AC76" i="19" s="1"/>
  <c r="AD76" i="19" s="1"/>
  <c r="AE76" i="19" s="1"/>
  <c r="AF76" i="19" s="1"/>
  <c r="AB76" i="19" l="1"/>
  <c r="AA77" i="19" l="1"/>
  <c r="AC77" i="19" s="1"/>
  <c r="AD77" i="19" s="1"/>
  <c r="AE77" i="19" s="1"/>
  <c r="AF77" i="19" s="1"/>
  <c r="AB77" i="19" l="1"/>
  <c r="AA78" i="19" l="1"/>
  <c r="AC78" i="19" s="1"/>
  <c r="AD78" i="19" s="1"/>
  <c r="AE78" i="19" s="1"/>
  <c r="AF78" i="19" s="1"/>
  <c r="AB78" i="19" l="1"/>
  <c r="AA79" i="19" l="1"/>
  <c r="AC79" i="19" s="1"/>
  <c r="AD79" i="19" s="1"/>
  <c r="AE79" i="19" s="1"/>
  <c r="AF79" i="19" s="1"/>
  <c r="AB79" i="19" l="1"/>
  <c r="AA80" i="19" l="1"/>
  <c r="AC80" i="19" s="1"/>
  <c r="AD80" i="19" s="1"/>
  <c r="AE80" i="19" s="1"/>
  <c r="AF80" i="19" s="1"/>
  <c r="AB80" i="19" l="1"/>
  <c r="AA81" i="19" l="1"/>
  <c r="AC81" i="19" s="1"/>
  <c r="AD81" i="19" s="1"/>
  <c r="AE81" i="19" s="1"/>
  <c r="AF81" i="19" s="1"/>
  <c r="AB81" i="19" l="1"/>
  <c r="AA82" i="19" s="1"/>
  <c r="AC82" i="19" s="1"/>
  <c r="AD82" i="19" s="1"/>
  <c r="AE82" i="19" s="1"/>
  <c r="AF82" i="19" s="1"/>
  <c r="AB82" i="19" l="1"/>
  <c r="AA83" i="19" l="1"/>
  <c r="AC83" i="19" s="1"/>
  <c r="AD83" i="19" s="1"/>
  <c r="AE83" i="19" s="1"/>
  <c r="AF83" i="19" s="1"/>
  <c r="AB83" i="19" l="1"/>
  <c r="AA84" i="19" s="1"/>
  <c r="AB84" i="19" s="1"/>
  <c r="Q84" i="19" s="1"/>
  <c r="R84" i="19" s="1"/>
  <c r="F42" i="21" s="1"/>
  <c r="N42" i="21" s="1"/>
  <c r="S84" i="19" l="1"/>
  <c r="AC84" i="19" s="1"/>
  <c r="AD84" i="19" s="1"/>
  <c r="AE84" i="19" s="1"/>
  <c r="J42" i="21"/>
  <c r="AF84" i="19" l="1"/>
  <c r="AI40" i="19"/>
  <c r="AI42" i="19" l="1"/>
  <c r="AI43" i="19" s="1"/>
  <c r="AI4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Muchen He</author>
  </authors>
  <commentList>
    <comment ref="H6" authorId="0" shapeId="0" xr:uid="{D5EBA629-432B-FE48-BEDD-00EA8AAE704B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https://ases.conference-services.net/resources/252/2859/pdf/SOLAR2012_0783_full%20paper.pdf</t>
        </r>
      </text>
    </comment>
    <comment ref="I7" authorId="0" shapeId="0" xr:uid="{BAFFC7D8-7834-6C46-AB17-C0DFAE728CF9}">
      <text>
        <r>
          <rPr>
            <b/>
            <sz val="10"/>
            <color rgb="FF000000"/>
            <rFont val="Tahoma"/>
            <family val="2"/>
          </rPr>
          <t>Muchen He: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https://www.solarpaneltalk.com/forum/solar-power-lighting/solar-lighting-for-homes-and-gardens/14683-lifespan-of-solar-charger-solar-controller-and-battery-agm-sla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88" authorId="0" shapeId="0" xr:uid="{12D4DF5B-590C-440D-A7CB-9C8E4F8B6D5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88" authorId="0" shapeId="0" xr:uid="{5A917467-B0A8-8F47-BD67-8182585BD8A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88" authorId="0" shapeId="0" xr:uid="{11F628A6-2DCF-47AF-AED5-C2FEE75C7144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This can act as the marginal operating cost</t>
        </r>
      </text>
    </comment>
  </commentList>
</comments>
</file>

<file path=xl/sharedStrings.xml><?xml version="1.0" encoding="utf-8"?>
<sst xmlns="http://schemas.openxmlformats.org/spreadsheetml/2006/main" count="925" uniqueCount="270">
  <si>
    <t>Daily average demand</t>
  </si>
  <si>
    <t>kWh per day</t>
  </si>
  <si>
    <t>SYSTEM REQUIREMENTS</t>
  </si>
  <si>
    <t>per W</t>
  </si>
  <si>
    <t>Type</t>
  </si>
  <si>
    <t>Part</t>
  </si>
  <si>
    <t>Cost</t>
  </si>
  <si>
    <t>Performance</t>
  </si>
  <si>
    <t>CCA</t>
  </si>
  <si>
    <t>per m^2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</si>
  <si>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</si>
  <si>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</si>
  <si>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</si>
  <si>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</si>
  <si>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</si>
  <si>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</si>
  <si>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</si>
  <si>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</si>
  <si>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</si>
  <si>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</si>
  <si>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</si>
  <si>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Adjustable angle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</si>
  <si>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</si>
  <si>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</si>
  <si>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</si>
  <si>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</si>
  <si>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</si>
  <si>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</si>
  <si>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</si>
  <si>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</si>
  <si>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</si>
  <si>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</si>
  <si>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</si>
  <si>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</si>
  <si>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</si>
  <si>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</si>
  <si>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</si>
  <si>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</si>
  <si>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</si>
  <si>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</si>
  <si>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</si>
  <si>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</si>
  <si>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</si>
  <si>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</si>
  <si>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Usually solar warranty of 25 years (free replacement til then)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</si>
  <si>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</si>
  <si>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</si>
  <si>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</si>
  <si>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</si>
  <si>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</si>
  <si>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</si>
  <si>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</si>
  <si>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deg</t>
  </si>
  <si>
    <t>Electricity Cost</t>
  </si>
  <si>
    <t>Historical</t>
  </si>
  <si>
    <t>Projected</t>
  </si>
  <si>
    <t>Year</t>
  </si>
  <si>
    <t>Accounting for inflation rate and other factors</t>
  </si>
  <si>
    <t>Admin Fees</t>
  </si>
  <si>
    <t>[$]</t>
  </si>
  <si>
    <t>[$/kWh]</t>
  </si>
  <si>
    <t>Usage</t>
  </si>
  <si>
    <t>[kWh]</t>
  </si>
  <si>
    <t>Inflation Rate</t>
  </si>
  <si>
    <t>5 years</t>
  </si>
  <si>
    <t>20 years</t>
  </si>
  <si>
    <t>40 years</t>
  </si>
  <si>
    <t>Off-peak</t>
  </si>
  <si>
    <t>Mid-peak</t>
  </si>
  <si>
    <t>On-peak</t>
  </si>
  <si>
    <t>Sources:</t>
  </si>
  <si>
    <t>https://www.oeb.ca/rates-and-your-bill/electricity-rates/historical-electricity-rates</t>
  </si>
  <si>
    <t>https://www.powerstream.ca/customers/rates-support-programs/time-of-use-pricing.html</t>
  </si>
  <si>
    <t>Cost of installation breakdown</t>
  </si>
  <si>
    <t>PV panels</t>
  </si>
  <si>
    <t>Inverters</t>
  </si>
  <si>
    <t>Racking &amp; Electrical</t>
  </si>
  <si>
    <t>Engineering/Design</t>
  </si>
  <si>
    <t>Permitting</t>
  </si>
  <si>
    <t>4kW</t>
  </si>
  <si>
    <t>6kW</t>
  </si>
  <si>
    <t>per kW</t>
  </si>
  <si>
    <t>16kW</t>
  </si>
  <si>
    <t>Transmission</t>
  </si>
  <si>
    <t>Distribution</t>
  </si>
  <si>
    <t>Electricity</t>
  </si>
  <si>
    <t>Admin</t>
  </si>
  <si>
    <t>Total</t>
  </si>
  <si>
    <t>Electricity Increase</t>
  </si>
  <si>
    <t>per year</t>
  </si>
  <si>
    <t>Transmission Increase</t>
  </si>
  <si>
    <t>https://www.aeso.ca/assets/Uploads/TRP-Factsheet-2018.pdf</t>
  </si>
  <si>
    <t>Energy cost</t>
  </si>
  <si>
    <t>https://callmepower.ca/en/ab/electricity/cost/averages-house-apartment-condo</t>
  </si>
  <si>
    <t>Month</t>
  </si>
  <si>
    <t>Daylight</t>
  </si>
  <si>
    <t>[hours]</t>
  </si>
  <si>
    <t>Sunlight</t>
  </si>
  <si>
    <t>of daylight</t>
  </si>
  <si>
    <t>Cloudy</t>
  </si>
  <si>
    <t>Overcast</t>
  </si>
  <si>
    <t>Sunny</t>
  </si>
  <si>
    <t>Solar Performance</t>
  </si>
  <si>
    <t>Consumption</t>
  </si>
  <si>
    <t>Uniform</t>
  </si>
  <si>
    <t>Model</t>
  </si>
  <si>
    <t>Fluctuation</t>
  </si>
  <si>
    <t>Yearly Aveage</t>
  </si>
  <si>
    <t>kWh</t>
  </si>
  <si>
    <t>Monthly Fluct.</t>
  </si>
  <si>
    <t>Monthly Offset</t>
  </si>
  <si>
    <t>Yearly</t>
  </si>
  <si>
    <t>no data</t>
  </si>
  <si>
    <t>Peak Probability</t>
  </si>
  <si>
    <t>Relative Costs</t>
  </si>
  <si>
    <t>Cost Increase</t>
  </si>
  <si>
    <t>Power</t>
  </si>
  <si>
    <t>[kW]</t>
  </si>
  <si>
    <t>Electrical</t>
  </si>
  <si>
    <t>Mechanical</t>
  </si>
  <si>
    <t>N/A</t>
  </si>
  <si>
    <t>Roof pitch</t>
  </si>
  <si>
    <t>DIY</t>
  </si>
  <si>
    <t>Parts List</t>
  </si>
  <si>
    <t>Qty.</t>
  </si>
  <si>
    <t>CCA class</t>
  </si>
  <si>
    <t>Depreciation</t>
  </si>
  <si>
    <t>Specifications</t>
  </si>
  <si>
    <t>W/panel</t>
  </si>
  <si>
    <t>Cost ea.</t>
  </si>
  <si>
    <t>Charge controller</t>
  </si>
  <si>
    <t>Inverter</t>
  </si>
  <si>
    <t>W</t>
  </si>
  <si>
    <t>Battery</t>
  </si>
  <si>
    <t>Wh/battery</t>
  </si>
  <si>
    <t>Tax rate</t>
  </si>
  <si>
    <t>Sales Tax</t>
  </si>
  <si>
    <t>https://www.canada.ca/en/revenue-agency/services/tax/businesses/topics/corporations/corporation-tax-rates.html</t>
  </si>
  <si>
    <t>https://en.wikipedia.org/wiki/Canada_small_business_tax_rate</t>
  </si>
  <si>
    <t>Installation</t>
  </si>
  <si>
    <t>Solar technician sallary</t>
  </si>
  <si>
    <t>per hour</t>
  </si>
  <si>
    <t>https://ca.indeed.com/Solar-Technician-jobs-in-Ontario?vjk=37ca25b9096f3721</t>
  </si>
  <si>
    <t>https://work.chron.com/pay-scale-solar-energy-technician-19567.html</t>
  </si>
  <si>
    <t>Installation time</t>
  </si>
  <si>
    <t>hours</t>
  </si>
  <si>
    <t>Salvage</t>
  </si>
  <si>
    <t>Replacement Period</t>
  </si>
  <si>
    <t>R/A</t>
  </si>
  <si>
    <t>One Year Power Estimate</t>
  </si>
  <si>
    <t>Generated</t>
  </si>
  <si>
    <t>Wh</t>
  </si>
  <si>
    <t>Solar efficiency</t>
  </si>
  <si>
    <t>Performance degration</t>
  </si>
  <si>
    <t>Failure rate</t>
  </si>
  <si>
    <t>years</t>
  </si>
  <si>
    <t>Government Incentives to reward renewable energy</t>
  </si>
  <si>
    <t>Alberta</t>
  </si>
  <si>
    <t>Edmonton</t>
  </si>
  <si>
    <t>Installation rebates</t>
  </si>
  <si>
    <t>Power Cost</t>
  </si>
  <si>
    <t>Rebate</t>
  </si>
  <si>
    <t>Maintainance</t>
  </si>
  <si>
    <t>Buyback</t>
  </si>
  <si>
    <t>Benefits</t>
  </si>
  <si>
    <t>Lesser of:</t>
  </si>
  <si>
    <t>of installation or</t>
  </si>
  <si>
    <t>Solar</t>
  </si>
  <si>
    <t>Grid</t>
  </si>
  <si>
    <t>UCC Change</t>
  </si>
  <si>
    <t>Taxable Income</t>
  </si>
  <si>
    <t>Book Val.</t>
  </si>
  <si>
    <t>Cashflow</t>
  </si>
  <si>
    <t>Tax</t>
  </si>
  <si>
    <t>Tax and Depreciation</t>
  </si>
  <si>
    <t>Relative Benefit</t>
  </si>
  <si>
    <t>[$ nominal]</t>
  </si>
  <si>
    <t>NPV</t>
  </si>
  <si>
    <t>In losses</t>
  </si>
  <si>
    <t>EAUC</t>
  </si>
  <si>
    <t>Loss</t>
  </si>
  <si>
    <t>Lost energy</t>
  </si>
  <si>
    <t>Opp. Cost</t>
  </si>
  <si>
    <t>Challenger</t>
  </si>
  <si>
    <t>Defender</t>
  </si>
  <si>
    <t>Lifetime</t>
  </si>
  <si>
    <t>Period</t>
  </si>
  <si>
    <t>ATCF Nominal MARR</t>
  </si>
  <si>
    <t>Energy Cost</t>
  </si>
  <si>
    <t>PV Panels</t>
  </si>
  <si>
    <t>Other Parts</t>
  </si>
  <si>
    <t>Taxed Cost</t>
  </si>
  <si>
    <t>Real IRR</t>
  </si>
  <si>
    <t>Nominal IRR</t>
  </si>
  <si>
    <t>Net Saved</t>
  </si>
  <si>
    <t>Net</t>
  </si>
  <si>
    <t>NPV Savings</t>
  </si>
  <si>
    <t>EUAB</t>
  </si>
  <si>
    <t>Medium setup</t>
  </si>
  <si>
    <t>5 Year Analysis</t>
  </si>
  <si>
    <t>20 Year Analysis</t>
  </si>
  <si>
    <t>40 Year Analysis</t>
  </si>
  <si>
    <t>Dollar per watt</t>
  </si>
  <si>
    <t>https://kubyenergy.ca/blog/solar-glossary</t>
  </si>
  <si>
    <t>Capacity</t>
  </si>
  <si>
    <t>[$/kW]</t>
  </si>
  <si>
    <t>Model Cost</t>
  </si>
  <si>
    <t>Dollar per watt linear model</t>
  </si>
  <si>
    <t>System W</t>
  </si>
  <si>
    <t>kW</t>
  </si>
  <si>
    <t>Fixed cost</t>
  </si>
  <si>
    <t>Variable cost</t>
  </si>
  <si>
    <t>Fixed Cost</t>
  </si>
  <si>
    <t>/kW</t>
  </si>
  <si>
    <t>Total install cost</t>
  </si>
  <si>
    <t>Consumed</t>
  </si>
  <si>
    <t>Solar Panel Replacement Analysis</t>
  </si>
  <si>
    <t>replaced every</t>
  </si>
  <si>
    <t>Labour</t>
  </si>
  <si>
    <t>Prime rate</t>
  </si>
  <si>
    <t>https://ycharts.com/indicators/canada_prime_rate_monthly</t>
  </si>
  <si>
    <t>Allowed loan terms</t>
  </si>
  <si>
    <t>Fraction of cost</t>
  </si>
  <si>
    <t>CCA rate</t>
  </si>
  <si>
    <t>Replacement</t>
  </si>
  <si>
    <t>A</t>
  </si>
  <si>
    <t>B</t>
  </si>
  <si>
    <t>Depreciation 1</t>
  </si>
  <si>
    <t>Depreciation 2</t>
  </si>
  <si>
    <t>UCC</t>
  </si>
  <si>
    <t>UCC account 1</t>
  </si>
  <si>
    <t>Cost basis</t>
  </si>
  <si>
    <t>UCC account 2</t>
  </si>
  <si>
    <t>UCC account 3</t>
  </si>
  <si>
    <t>Buy back incrase rate</t>
  </si>
  <si>
    <t>https://www.bchydro.com/news/conservation/2016/sell-electricity-at-your-home.html</t>
  </si>
  <si>
    <t>Corrected</t>
  </si>
  <si>
    <t>actual</t>
  </si>
  <si>
    <t>desired</t>
  </si>
  <si>
    <t>Correction Factor</t>
  </si>
  <si>
    <t>result</t>
  </si>
  <si>
    <t>Excess</t>
  </si>
  <si>
    <t>Average annual cost</t>
  </si>
  <si>
    <t>/10 kW</t>
  </si>
  <si>
    <t>/ W</t>
  </si>
  <si>
    <t>Depreciation 3</t>
  </si>
  <si>
    <t>Loan interest</t>
  </si>
  <si>
    <t>prime + 2%</t>
  </si>
  <si>
    <t>C</t>
  </si>
  <si>
    <t>Large setup</t>
  </si>
  <si>
    <t>Cost (extra conserv.)</t>
  </si>
  <si>
    <t>Loan Payment</t>
  </si>
  <si>
    <t>5 year</t>
  </si>
  <si>
    <t>15 year</t>
  </si>
  <si>
    <t>PAYMENT PERIOD</t>
  </si>
  <si>
    <t>Enter 0</t>
  </si>
  <si>
    <t>for cash</t>
  </si>
  <si>
    <t>Enter 5</t>
  </si>
  <si>
    <t>Enter 15</t>
  </si>
  <si>
    <t>for 5 year term loan</t>
  </si>
  <si>
    <t>for 15 year term loan</t>
  </si>
  <si>
    <t>http://mccac.ca/solar-calculator#output</t>
  </si>
  <si>
    <t>https://enlighten.enphaseenergy.com/pv/public_systems/EwPs64809/overview</t>
  </si>
  <si>
    <t>Equivalent</t>
  </si>
  <si>
    <t>10 year</t>
  </si>
  <si>
    <t>Depreciation 1 (Class 43)</t>
  </si>
  <si>
    <t>Depreciation 2 (Class 17)</t>
  </si>
  <si>
    <t>Depreciation 3 (Class 8)</t>
  </si>
  <si>
    <t>C-B</t>
  </si>
  <si>
    <t>Incremental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</si>
</sst>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0.0%"/>
    <numFmt numFmtId="168" formatCode="_([$$-409]* #,##0.00_);_([$$-409]* \(#,##0.00\);_([$$-409]* &quot;-&quot;??_);_(@_)"/>
    <numFmt numFmtId="169" formatCode="_(&quot;$&quot;* #,##0.000_);_(&quot;$&quot;* \(#,##0.000\);_(&quot;$&quot;* &quot;-&quot;??_);_(@_)"/>
    <numFmt numFmtId="170" formatCode="_(&quot;$&quot;* #,##0.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3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0"/>
      <color theme="1"/>
      <name val="Open Sans Regular"/>
    </font>
    <font>
      <sz val="11"/>
      <color theme="1"/>
      <name val="Open Sans Regular"/>
    </font>
    <font>
      <b/>
      <sz val="11"/>
      <color theme="1"/>
      <name val="Open Sans Regular"/>
    </font>
    <font>
      <sz val="11"/>
      <color theme="0" tint="-0.14999847407452621"/>
      <name val="Open Sans Regular"/>
    </font>
    <font>
      <b/>
      <sz val="11"/>
      <color theme="1"/>
      <name val="Open Sans"/>
      <family val="2"/>
    </font>
    <font>
      <sz val="90"/>
      <color theme="1"/>
      <name val="Open Sans"/>
      <family val="2"/>
    </font>
    <font>
      <sz val="11"/>
      <color theme="1"/>
      <name val="Open Sans"/>
      <family val="2"/>
    </font>
    <font>
      <sz val="11"/>
      <color theme="0" tint="-0.14999847407452621"/>
      <name val="Open San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04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167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4" fontId="0" fillId="0" borderId="0" xfId="0" applyNumberFormat="1"/>
    <xf numFmtId="166" fontId="0" fillId="0" borderId="0" xfId="0" applyNumberFormat="1"/>
    <xf numFmtId="164" fontId="0" fillId="0" borderId="0" xfId="0" applyNumberFormat="1"/>
    <xf numFmtId="44" fontId="2" fillId="0" borderId="1" xfId="1" applyFont="1" applyBorder="1"/>
    <xf numFmtId="166" fontId="2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  <xf numFmtId="2" fontId="3" fillId="0" borderId="1" xfId="3" applyNumberFormat="1" applyBorder="1"/>
    <xf numFmtId="0" fontId="3" fillId="0" borderId="7" xfId="3" applyBorder="1"/>
    <xf numFmtId="44" fontId="3" fillId="0" borderId="5" xfId="3" applyNumberFormat="1" applyBorder="1"/>
    <xf numFmtId="0" fontId="3" fillId="0" borderId="9" xfId="3" applyBorder="1"/>
    <xf numFmtId="44" fontId="3" fillId="0" borderId="0" xfId="3" applyNumberFormat="1" applyBorder="1"/>
    <xf numFmtId="0" fontId="2" fillId="0" borderId="11" xfId="0" applyFont="1" applyBorder="1"/>
    <xf numFmtId="0" fontId="0" fillId="0" borderId="9" xfId="0" applyBorder="1"/>
    <xf numFmtId="44" fontId="0" fillId="0" borderId="0" xfId="1" applyFont="1" applyBorder="1"/>
    <xf numFmtId="44" fontId="0" fillId="0" borderId="0" xfId="1" applyNumberFormat="1" applyFont="1" applyBorder="1"/>
    <xf numFmtId="166" fontId="0" fillId="0" borderId="0" xfId="0" applyNumberFormat="1" applyFont="1" applyBorder="1"/>
    <xf numFmtId="0" fontId="2" fillId="0" borderId="0" xfId="0" applyFont="1" applyAlignment="1"/>
    <xf numFmtId="0" fontId="2" fillId="0" borderId="9" xfId="0" applyFont="1" applyBorder="1"/>
    <xf numFmtId="9" fontId="0" fillId="0" borderId="10" xfId="0" applyNumberFormat="1" applyBorder="1"/>
    <xf numFmtId="9" fontId="0" fillId="0" borderId="12" xfId="0" applyNumberFormat="1" applyBorder="1"/>
    <xf numFmtId="0" fontId="2" fillId="0" borderId="7" xfId="0" applyFont="1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10" fontId="0" fillId="0" borderId="5" xfId="0" applyNumberFormat="1" applyBorder="1"/>
    <xf numFmtId="0" fontId="0" fillId="0" borderId="8" xfId="0" applyBorder="1"/>
    <xf numFmtId="10" fontId="0" fillId="0" borderId="1" xfId="0" applyNumberFormat="1" applyBorder="1"/>
    <xf numFmtId="0" fontId="0" fillId="0" borderId="12" xfId="0" applyBorder="1"/>
    <xf numFmtId="0" fontId="5" fillId="2" borderId="11" xfId="0" applyFont="1" applyFill="1" applyBorder="1"/>
    <xf numFmtId="44" fontId="5" fillId="2" borderId="1" xfId="1" applyFont="1" applyFill="1" applyBorder="1"/>
    <xf numFmtId="166" fontId="5" fillId="2" borderId="1" xfId="0" applyNumberFormat="1" applyFont="1" applyFill="1" applyBorder="1"/>
    <xf numFmtId="44" fontId="4" fillId="2" borderId="2" xfId="1" applyFont="1" applyFill="1" applyBorder="1"/>
    <xf numFmtId="44" fontId="4" fillId="2" borderId="3" xfId="1" applyFont="1" applyFill="1" applyBorder="1"/>
    <xf numFmtId="44" fontId="4" fillId="2" borderId="4" xfId="1" applyFont="1" applyFill="1" applyBorder="1"/>
    <xf numFmtId="10" fontId="0" fillId="0" borderId="0" xfId="0" applyNumberFormat="1" applyBorder="1"/>
    <xf numFmtId="0" fontId="0" fillId="0" borderId="10" xfId="0" applyBorder="1"/>
    <xf numFmtId="2" fontId="3" fillId="0" borderId="0" xfId="3" applyNumberFormat="1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5" xfId="0" applyBorder="1"/>
    <xf numFmtId="9" fontId="0" fillId="0" borderId="0" xfId="0" applyNumberFormat="1" applyBorder="1"/>
    <xf numFmtId="0" fontId="0" fillId="0" borderId="7" xfId="0" applyBorder="1"/>
    <xf numFmtId="0" fontId="0" fillId="0" borderId="0" xfId="0" applyBorder="1"/>
    <xf numFmtId="0" fontId="2" fillId="0" borderId="6" xfId="0" applyFont="1" applyFill="1" applyBorder="1" applyAlignment="1">
      <alignment horizontal="center" vertical="center"/>
    </xf>
    <xf numFmtId="9" fontId="0" fillId="0" borderId="0" xfId="2" applyFont="1"/>
    <xf numFmtId="0" fontId="0" fillId="0" borderId="1" xfId="0" applyBorder="1"/>
    <xf numFmtId="0" fontId="8" fillId="0" borderId="0" xfId="4"/>
    <xf numFmtId="0" fontId="2" fillId="0" borderId="2" xfId="0" applyFont="1" applyBorder="1"/>
    <xf numFmtId="1" fontId="2" fillId="0" borderId="3" xfId="0" applyNumberFormat="1" applyFont="1" applyBorder="1"/>
    <xf numFmtId="44" fontId="2" fillId="0" borderId="3" xfId="0" applyNumberFormat="1" applyFont="1" applyBorder="1"/>
    <xf numFmtId="9" fontId="0" fillId="0" borderId="1" xfId="2" applyFont="1" applyBorder="1"/>
    <xf numFmtId="9" fontId="0" fillId="0" borderId="3" xfId="0" applyNumberFormat="1" applyBorder="1"/>
    <xf numFmtId="166" fontId="2" fillId="0" borderId="4" xfId="0" applyNumberFormat="1" applyFont="1" applyBorder="1"/>
    <xf numFmtId="44" fontId="0" fillId="0" borderId="1" xfId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9" fontId="0" fillId="0" borderId="0" xfId="2" applyFont="1" applyBorder="1"/>
    <xf numFmtId="166" fontId="0" fillId="0" borderId="0" xfId="0" applyNumberFormat="1" applyBorder="1"/>
    <xf numFmtId="0" fontId="0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 applyAlignment="1"/>
    <xf numFmtId="0" fontId="0" fillId="0" borderId="6" xfId="0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44" fontId="12" fillId="0" borderId="0" xfId="1" applyFont="1"/>
    <xf numFmtId="166" fontId="12" fillId="0" borderId="0" xfId="0" applyNumberFormat="1" applyFont="1"/>
    <xf numFmtId="0" fontId="13" fillId="0" borderId="0" xfId="0" applyFont="1"/>
    <xf numFmtId="44" fontId="13" fillId="0" borderId="0" xfId="1" applyFont="1"/>
    <xf numFmtId="10" fontId="12" fillId="0" borderId="0" xfId="0" applyNumberFormat="1" applyFont="1"/>
    <xf numFmtId="0" fontId="13" fillId="0" borderId="6" xfId="0" applyFont="1" applyBorder="1" applyAlignment="1">
      <alignment horizontal="left" vertical="top"/>
    </xf>
    <xf numFmtId="10" fontId="12" fillId="0" borderId="8" xfId="0" applyNumberFormat="1" applyFont="1" applyBorder="1"/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2" fillId="0" borderId="10" xfId="0" applyNumberFormat="1" applyFont="1" applyBorder="1"/>
    <xf numFmtId="0" fontId="13" fillId="0" borderId="6" xfId="0" applyFont="1" applyBorder="1"/>
    <xf numFmtId="0" fontId="13" fillId="0" borderId="6" xfId="0" applyFont="1" applyFill="1" applyBorder="1" applyAlignment="1">
      <alignment horizontal="left" vertical="top"/>
    </xf>
    <xf numFmtId="166" fontId="12" fillId="0" borderId="10" xfId="0" applyNumberFormat="1" applyFont="1" applyBorder="1"/>
    <xf numFmtId="1" fontId="12" fillId="0" borderId="0" xfId="0" applyNumberFormat="1" applyFont="1"/>
    <xf numFmtId="0" fontId="12" fillId="0" borderId="9" xfId="0" applyFont="1" applyBorder="1"/>
    <xf numFmtId="9" fontId="12" fillId="0" borderId="0" xfId="0" applyNumberFormat="1" applyFont="1" applyBorder="1"/>
    <xf numFmtId="1" fontId="12" fillId="0" borderId="0" xfId="0" applyNumberFormat="1" applyFont="1" applyBorder="1"/>
    <xf numFmtId="166" fontId="12" fillId="0" borderId="0" xfId="0" applyNumberFormat="1" applyFont="1" applyBorder="1"/>
    <xf numFmtId="44" fontId="12" fillId="0" borderId="0" xfId="1" applyFont="1" applyBorder="1"/>
    <xf numFmtId="44" fontId="12" fillId="0" borderId="10" xfId="1" applyFont="1" applyBorder="1"/>
    <xf numFmtId="166" fontId="12" fillId="0" borderId="12" xfId="0" applyNumberFormat="1" applyFont="1" applyBorder="1"/>
    <xf numFmtId="9" fontId="12" fillId="0" borderId="0" xfId="2" applyFont="1" applyBorder="1"/>
    <xf numFmtId="0" fontId="12" fillId="0" borderId="11" xfId="0" applyFont="1" applyBorder="1"/>
    <xf numFmtId="9" fontId="12" fillId="0" borderId="1" xfId="2" applyFont="1" applyBorder="1"/>
    <xf numFmtId="1" fontId="12" fillId="0" borderId="1" xfId="0" applyNumberFormat="1" applyFont="1" applyBorder="1"/>
    <xf numFmtId="166" fontId="12" fillId="0" borderId="1" xfId="0" applyNumberFormat="1" applyFont="1" applyBorder="1"/>
    <xf numFmtId="44" fontId="12" fillId="0" borderId="1" xfId="1" applyFont="1" applyBorder="1"/>
    <xf numFmtId="44" fontId="12" fillId="0" borderId="12" xfId="1" applyFont="1" applyBorder="1"/>
    <xf numFmtId="0" fontId="12" fillId="0" borderId="1" xfId="0" applyFont="1" applyBorder="1"/>
    <xf numFmtId="0" fontId="12" fillId="0" borderId="0" xfId="0" applyFont="1" applyBorder="1"/>
    <xf numFmtId="1" fontId="12" fillId="0" borderId="0" xfId="2" applyNumberFormat="1" applyFont="1" applyBorder="1"/>
    <xf numFmtId="166" fontId="12" fillId="0" borderId="0" xfId="1" applyNumberFormat="1" applyFont="1" applyBorder="1"/>
    <xf numFmtId="166" fontId="12" fillId="0" borderId="10" xfId="1" applyNumberFormat="1" applyFont="1" applyBorder="1"/>
    <xf numFmtId="9" fontId="12" fillId="0" borderId="0" xfId="2" applyFont="1"/>
    <xf numFmtId="166" fontId="12" fillId="0" borderId="1" xfId="1" applyNumberFormat="1" applyFont="1" applyBorder="1"/>
    <xf numFmtId="166" fontId="12" fillId="0" borderId="12" xfId="1" applyNumberFormat="1" applyFont="1" applyBorder="1"/>
    <xf numFmtId="165" fontId="12" fillId="0" borderId="0" xfId="0" applyNumberFormat="1" applyFont="1"/>
    <xf numFmtId="2" fontId="12" fillId="0" borderId="0" xfId="0" applyNumberFormat="1" applyFont="1" applyBorder="1"/>
    <xf numFmtId="165" fontId="12" fillId="0" borderId="10" xfId="0" applyNumberFormat="1" applyFont="1" applyBorder="1"/>
    <xf numFmtId="165" fontId="14" fillId="0" borderId="0" xfId="0" applyNumberFormat="1" applyFont="1"/>
    <xf numFmtId="166" fontId="12" fillId="0" borderId="0" xfId="1" applyNumberFormat="1" applyFont="1"/>
    <xf numFmtId="168" fontId="12" fillId="0" borderId="0" xfId="1" applyNumberFormat="1" applyFont="1"/>
    <xf numFmtId="10" fontId="13" fillId="0" borderId="0" xfId="0" applyNumberFormat="1" applyFont="1"/>
    <xf numFmtId="9" fontId="12" fillId="0" borderId="1" xfId="0" applyNumberFormat="1" applyFont="1" applyBorder="1"/>
    <xf numFmtId="2" fontId="12" fillId="0" borderId="1" xfId="0" applyNumberFormat="1" applyFont="1" applyBorder="1"/>
    <xf numFmtId="165" fontId="12" fillId="0" borderId="12" xfId="0" applyNumberFormat="1" applyFont="1" applyBorder="1"/>
    <xf numFmtId="0" fontId="0" fillId="0" borderId="4" xfId="0" applyBorder="1"/>
    <xf numFmtId="166" fontId="0" fillId="0" borderId="2" xfId="0" applyNumberFormat="1" applyFont="1" applyBorder="1"/>
    <xf numFmtId="166" fontId="5" fillId="2" borderId="2" xfId="0" applyNumberFormat="1" applyFont="1" applyFill="1" applyBorder="1"/>
    <xf numFmtId="44" fontId="0" fillId="0" borderId="6" xfId="1" applyFont="1" applyBorder="1"/>
    <xf numFmtId="0" fontId="13" fillId="0" borderId="13" xfId="0" applyFont="1" applyBorder="1" applyAlignment="1">
      <alignment horizontal="center" vertical="center"/>
    </xf>
    <xf numFmtId="9" fontId="0" fillId="0" borderId="5" xfId="2" applyFont="1" applyBorder="1"/>
    <xf numFmtId="9" fontId="2" fillId="0" borderId="15" xfId="2" applyFont="1" applyBorder="1"/>
    <xf numFmtId="9" fontId="2" fillId="0" borderId="15" xfId="0" applyNumberFormat="1" applyFont="1" applyBorder="1"/>
    <xf numFmtId="2" fontId="3" fillId="0" borderId="5" xfId="3" applyNumberFormat="1" applyBorder="1"/>
    <xf numFmtId="2" fontId="0" fillId="0" borderId="5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2" fillId="0" borderId="10" xfId="0" applyFont="1" applyBorder="1"/>
    <xf numFmtId="0" fontId="12" fillId="0" borderId="12" xfId="0" applyFont="1" applyBorder="1"/>
    <xf numFmtId="0" fontId="13" fillId="0" borderId="2" xfId="0" applyFont="1" applyBorder="1"/>
    <xf numFmtId="2" fontId="13" fillId="0" borderId="3" xfId="0" applyNumberFormat="1" applyFont="1" applyBorder="1"/>
    <xf numFmtId="0" fontId="13" fillId="0" borderId="4" xfId="0" applyFont="1" applyBorder="1"/>
    <xf numFmtId="0" fontId="13" fillId="0" borderId="0" xfId="0" applyFont="1" applyBorder="1" applyAlignment="1">
      <alignment horizontal="center"/>
    </xf>
    <xf numFmtId="167" fontId="0" fillId="0" borderId="10" xfId="0" applyNumberFormat="1" applyBorder="1"/>
    <xf numFmtId="167" fontId="0" fillId="0" borderId="12" xfId="0" applyNumberFormat="1" applyBorder="1"/>
    <xf numFmtId="0" fontId="13" fillId="0" borderId="0" xfId="0" applyFont="1" applyBorder="1" applyAlignment="1">
      <alignment horizontal="center" vertical="center"/>
    </xf>
    <xf numFmtId="165" fontId="12" fillId="0" borderId="0" xfId="0" applyNumberFormat="1" applyFont="1" applyBorder="1"/>
    <xf numFmtId="0" fontId="12" fillId="0" borderId="7" xfId="0" applyFont="1" applyBorder="1"/>
    <xf numFmtId="9" fontId="12" fillId="0" borderId="5" xfId="0" applyNumberFormat="1" applyFont="1" applyBorder="1"/>
    <xf numFmtId="1" fontId="12" fillId="0" borderId="5" xfId="0" applyNumberFormat="1" applyFont="1" applyBorder="1"/>
    <xf numFmtId="166" fontId="12" fillId="0" borderId="5" xfId="0" applyNumberFormat="1" applyFont="1" applyBorder="1"/>
    <xf numFmtId="44" fontId="12" fillId="0" borderId="5" xfId="1" applyFont="1" applyBorder="1"/>
    <xf numFmtId="44" fontId="12" fillId="0" borderId="8" xfId="1" applyFont="1" applyBorder="1"/>
    <xf numFmtId="0" fontId="2" fillId="0" borderId="6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5" fillId="0" borderId="6" xfId="0" applyFont="1" applyBorder="1"/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10" fontId="17" fillId="0" borderId="8" xfId="0" applyNumberFormat="1" applyFont="1" applyBorder="1"/>
    <xf numFmtId="0" fontId="17" fillId="0" borderId="6" xfId="0" applyFont="1" applyBorder="1"/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10" fontId="17" fillId="0" borderId="10" xfId="0" applyNumberFormat="1" applyFont="1" applyBorder="1"/>
    <xf numFmtId="0" fontId="17" fillId="0" borderId="9" xfId="0" applyFont="1" applyBorder="1"/>
    <xf numFmtId="1" fontId="17" fillId="0" borderId="0" xfId="0" applyNumberFormat="1" applyFont="1" applyBorder="1"/>
    <xf numFmtId="1" fontId="17" fillId="0" borderId="10" xfId="0" applyNumberFormat="1" applyFont="1" applyBorder="1"/>
    <xf numFmtId="0" fontId="15" fillId="0" borderId="13" xfId="0" applyFont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top"/>
    </xf>
    <xf numFmtId="165" fontId="17" fillId="0" borderId="10" xfId="0" applyNumberFormat="1" applyFont="1" applyBorder="1"/>
    <xf numFmtId="0" fontId="17" fillId="0" borderId="7" xfId="0" applyFont="1" applyBorder="1"/>
    <xf numFmtId="9" fontId="17" fillId="0" borderId="5" xfId="0" applyNumberFormat="1" applyFont="1" applyBorder="1"/>
    <xf numFmtId="1" fontId="17" fillId="0" borderId="5" xfId="0" applyNumberFormat="1" applyFont="1" applyBorder="1"/>
    <xf numFmtId="166" fontId="17" fillId="0" borderId="5" xfId="0" applyNumberFormat="1" applyFont="1" applyBorder="1"/>
    <xf numFmtId="44" fontId="17" fillId="0" borderId="5" xfId="1" applyFont="1" applyBorder="1"/>
    <xf numFmtId="166" fontId="17" fillId="0" borderId="8" xfId="1" applyNumberFormat="1" applyFont="1" applyBorder="1"/>
    <xf numFmtId="165" fontId="17" fillId="0" borderId="12" xfId="0" applyNumberFormat="1" applyFont="1" applyBorder="1"/>
    <xf numFmtId="9" fontId="17" fillId="0" borderId="0" xfId="2" applyFont="1" applyBorder="1"/>
    <xf numFmtId="166" fontId="17" fillId="0" borderId="0" xfId="0" applyNumberFormat="1" applyFont="1" applyBorder="1"/>
    <xf numFmtId="44" fontId="17" fillId="0" borderId="0" xfId="1" applyFont="1" applyBorder="1"/>
    <xf numFmtId="166" fontId="17" fillId="0" borderId="10" xfId="1" applyNumberFormat="1" applyFont="1" applyBorder="1"/>
    <xf numFmtId="0" fontId="17" fillId="0" borderId="11" xfId="0" applyFont="1" applyBorder="1"/>
    <xf numFmtId="9" fontId="17" fillId="0" borderId="1" xfId="2" applyFont="1" applyBorder="1"/>
    <xf numFmtId="1" fontId="17" fillId="0" borderId="1" xfId="0" applyNumberFormat="1" applyFont="1" applyBorder="1"/>
    <xf numFmtId="166" fontId="17" fillId="0" borderId="1" xfId="0" applyNumberFormat="1" applyFont="1" applyBorder="1"/>
    <xf numFmtId="44" fontId="17" fillId="0" borderId="1" xfId="1" applyFont="1" applyBorder="1"/>
    <xf numFmtId="166" fontId="17" fillId="0" borderId="12" xfId="1" applyNumberFormat="1" applyFont="1" applyBorder="1"/>
    <xf numFmtId="0" fontId="17" fillId="0" borderId="0" xfId="0" applyFont="1" applyBorder="1"/>
    <xf numFmtId="0" fontId="15" fillId="0" borderId="2" xfId="0" applyFont="1" applyBorder="1"/>
    <xf numFmtId="1" fontId="15" fillId="0" borderId="3" xfId="0" applyNumberFormat="1" applyFont="1" applyBorder="1"/>
    <xf numFmtId="1" fontId="15" fillId="0" borderId="4" xfId="0" applyNumberFormat="1" applyFont="1" applyBorder="1"/>
    <xf numFmtId="1" fontId="17" fillId="0" borderId="0" xfId="0" applyNumberFormat="1" applyFont="1"/>
    <xf numFmtId="0" fontId="15" fillId="0" borderId="0" xfId="0" applyFont="1"/>
    <xf numFmtId="166" fontId="17" fillId="0" borderId="0" xfId="1" applyNumberFormat="1" applyFont="1" applyBorder="1"/>
    <xf numFmtId="0" fontId="15" fillId="0" borderId="6" xfId="0" applyFont="1" applyBorder="1" applyAlignment="1">
      <alignment horizontal="center" vertical="center"/>
    </xf>
    <xf numFmtId="9" fontId="17" fillId="0" borderId="0" xfId="0" applyNumberFormat="1" applyFont="1" applyBorder="1"/>
    <xf numFmtId="2" fontId="17" fillId="0" borderId="0" xfId="0" applyNumberFormat="1" applyFont="1" applyBorder="1"/>
    <xf numFmtId="165" fontId="18" fillId="0" borderId="0" xfId="0" applyNumberFormat="1" applyFont="1"/>
    <xf numFmtId="9" fontId="17" fillId="0" borderId="1" xfId="0" applyNumberFormat="1" applyFont="1" applyBorder="1"/>
    <xf numFmtId="0" fontId="17" fillId="0" borderId="1" xfId="0" applyFont="1" applyBorder="1"/>
    <xf numFmtId="0" fontId="0" fillId="0" borderId="14" xfId="0" applyBorder="1"/>
    <xf numFmtId="0" fontId="0" fillId="0" borderId="15" xfId="0" applyBorder="1"/>
    <xf numFmtId="44" fontId="17" fillId="0" borderId="0" xfId="1" applyFont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0" fontId="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9" fontId="12" fillId="0" borderId="5" xfId="2" applyFont="1" applyBorder="1"/>
    <xf numFmtId="1" fontId="12" fillId="0" borderId="5" xfId="2" applyNumberFormat="1" applyFont="1" applyBorder="1"/>
    <xf numFmtId="166" fontId="12" fillId="0" borderId="5" xfId="1" applyNumberFormat="1" applyFont="1" applyBorder="1"/>
    <xf numFmtId="166" fontId="12" fillId="0" borderId="8" xfId="1" applyNumberFormat="1" applyFont="1" applyBorder="1"/>
    <xf numFmtId="166" fontId="12" fillId="0" borderId="8" xfId="0" applyNumberFormat="1" applyFont="1" applyBorder="1"/>
    <xf numFmtId="2" fontId="17" fillId="0" borderId="5" xfId="0" applyNumberFormat="1" applyFont="1" applyBorder="1"/>
    <xf numFmtId="0" fontId="17" fillId="0" borderId="5" xfId="0" applyFont="1" applyBorder="1"/>
    <xf numFmtId="165" fontId="17" fillId="0" borderId="8" xfId="0" applyNumberFormat="1" applyFont="1" applyBorder="1"/>
    <xf numFmtId="2" fontId="17" fillId="0" borderId="1" xfId="0" applyNumberFormat="1" applyFont="1" applyBorder="1"/>
    <xf numFmtId="44" fontId="0" fillId="0" borderId="0" xfId="0" applyNumberFormat="1" applyBorder="1"/>
    <xf numFmtId="166" fontId="0" fillId="0" borderId="10" xfId="0" applyNumberFormat="1" applyBorder="1"/>
    <xf numFmtId="1" fontId="0" fillId="0" borderId="0" xfId="0" applyNumberFormat="1" applyBorder="1"/>
    <xf numFmtId="44" fontId="0" fillId="0" borderId="10" xfId="1" applyFont="1" applyBorder="1"/>
    <xf numFmtId="44" fontId="0" fillId="0" borderId="12" xfId="1" applyFont="1" applyBorder="1"/>
    <xf numFmtId="0" fontId="0" fillId="0" borderId="2" xfId="0" applyBorder="1"/>
    <xf numFmtId="0" fontId="0" fillId="0" borderId="3" xfId="0" applyBorder="1"/>
    <xf numFmtId="165" fontId="0" fillId="0" borderId="0" xfId="0" applyNumberFormat="1" applyBorder="1"/>
    <xf numFmtId="165" fontId="0" fillId="0" borderId="1" xfId="0" applyNumberFormat="1" applyBorder="1"/>
    <xf numFmtId="0" fontId="15" fillId="0" borderId="1" xfId="0" applyFont="1" applyBorder="1"/>
    <xf numFmtId="9" fontId="17" fillId="0" borderId="0" xfId="0" applyNumberFormat="1" applyFont="1"/>
    <xf numFmtId="0" fontId="17" fillId="0" borderId="0" xfId="0" applyNumberFormat="1" applyFont="1"/>
    <xf numFmtId="166" fontId="17" fillId="0" borderId="0" xfId="0" applyNumberFormat="1" applyFont="1"/>
    <xf numFmtId="44" fontId="17" fillId="0" borderId="0" xfId="0" applyNumberFormat="1" applyFont="1"/>
    <xf numFmtId="44" fontId="15" fillId="0" borderId="0" xfId="1" applyFont="1"/>
    <xf numFmtId="0" fontId="17" fillId="3" borderId="0" xfId="0" applyFont="1" applyFill="1"/>
    <xf numFmtId="166" fontId="15" fillId="0" borderId="0" xfId="0" applyNumberFormat="1" applyFont="1"/>
    <xf numFmtId="0" fontId="17" fillId="4" borderId="0" xfId="0" applyFont="1" applyFill="1"/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44" fontId="3" fillId="0" borderId="7" xfId="3" applyNumberFormat="1" applyBorder="1" applyAlignment="1">
      <alignment horizontal="center" vertical="center"/>
    </xf>
    <xf numFmtId="44" fontId="3" fillId="0" borderId="5" xfId="3" applyNumberFormat="1" applyBorder="1" applyAlignment="1">
      <alignment horizontal="center" vertical="center"/>
    </xf>
    <xf numFmtId="44" fontId="3" fillId="0" borderId="8" xfId="3" applyNumberFormat="1" applyBorder="1" applyAlignment="1">
      <alignment horizontal="center" vertical="center"/>
    </xf>
    <xf numFmtId="44" fontId="3" fillId="0" borderId="9" xfId="3" applyNumberFormat="1" applyBorder="1" applyAlignment="1">
      <alignment horizontal="center" vertical="center"/>
    </xf>
    <xf numFmtId="44" fontId="3" fillId="0" borderId="0" xfId="3" applyNumberFormat="1" applyBorder="1" applyAlignment="1">
      <alignment horizontal="center" vertical="center"/>
    </xf>
    <xf numFmtId="44" fontId="3" fillId="0" borderId="10" xfId="3" applyNumberFormat="1" applyBorder="1" applyAlignment="1">
      <alignment horizontal="center" vertical="center"/>
    </xf>
    <xf numFmtId="44" fontId="3" fillId="0" borderId="11" xfId="3" applyNumberFormat="1" applyBorder="1" applyAlignment="1">
      <alignment horizontal="center" vertical="center"/>
    </xf>
    <xf numFmtId="44" fontId="3" fillId="0" borderId="1" xfId="3" applyNumberFormat="1" applyBorder="1" applyAlignment="1">
      <alignment horizontal="center" vertical="center"/>
    </xf>
    <xf numFmtId="44" fontId="3" fillId="0" borderId="12" xfId="3" applyNumberForma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9" fillId="0" borderId="0" xfId="5"/>
    <xf numFmtId="170" fontId="5" fillId="2" borderId="2" xfId="0" applyNumberFormat="1" applyFont="1" applyFill="1" applyBorder="1"/>
    <xf numFmtId="169" fontId="2" fillId="0" borderId="12" xfId="0" applyNumberFormat="1" applyFont="1" applyBorder="1"/>
    <xf numFmtId="9" fontId="2" fillId="0" borderId="0" xfId="0" applyNumberFormat="1" applyFont="1"/>
    <xf numFmtId="167" fontId="12" fillId="0" borderId="0" xfId="2" applyNumberFormat="1" applyFont="1" applyBorder="1"/>
    <xf numFmtId="167" fontId="12" fillId="0" borderId="5" xfId="0" applyNumberFormat="1" applyFont="1" applyBorder="1"/>
    <xf numFmtId="167" fontId="12" fillId="0" borderId="1" xfId="2" applyNumberFormat="1" applyFont="1" applyBorder="1"/>
    <xf numFmtId="8" fontId="17" fillId="0" borderId="0" xfId="0" applyNumberFormat="1" applyFont="1"/>
    <xf numFmtId="9" fontId="15" fillId="0" borderId="0" xfId="0" applyNumberFormat="1" applyFont="1"/>
    <xf numFmtId="0" fontId="0" fillId="5" borderId="0" xfId="0" applyFill="1"/>
  </cellXfs>
  <cellStyles count="6">
    <cellStyle name="Currency" xfId="1" builtinId="4"/>
    <cellStyle name="Explanatory Text" xfId="3" builtinId="53"/>
    <cellStyle name="Hyperlink" xfId="5" builtinId="8"/>
    <cellStyle name="Normal" xfId="0" builtinId="0"/>
    <cellStyle name="Percent" xfId="2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Constants!$M$6:$M$12</c:f>
              <c:numCache>
                <c:formatCode>General</c:formatCode>
                <c:ptCount val="7"/>
                <c:pt idx="0">
                  <c:v>90</c:v>
                </c:pt>
                <c:pt idx="1">
                  <c:v>53</c:v>
                </c:pt>
                <c:pt idx="2">
                  <c:v>45</c:v>
                </c:pt>
                <c:pt idx="3">
                  <c:v>35</c:v>
                </c:pt>
                <c:pt idx="4">
                  <c:v>27</c:v>
                </c:pt>
                <c:pt idx="5">
                  <c:v>18</c:v>
                </c:pt>
                <c:pt idx="6">
                  <c:v>14</c:v>
                </c:pt>
              </c:numCache>
            </c:numRef>
          </c:xVal>
          <c:yVal>
            <c:numRef>
              <c:f>Constants!$N$6:$N$12</c:f>
              <c:numCache>
                <c:formatCode>0.0%</c:formatCode>
                <c:ptCount val="7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0.03</c:v>
                </c:pt>
                <c:pt idx="4">
                  <c:v>0.04</c:v>
                </c:pt>
                <c:pt idx="5">
                  <c:v>4.7E-2</c:v>
                </c:pt>
                <c:pt idx="6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D-B54B-B429-26F1430E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28687"/>
        <c:axId val="844545663"/>
      </c:scatterChart>
      <c:valAx>
        <c:axId val="86022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5663"/>
        <c:crosses val="autoZero"/>
        <c:crossBetween val="midCat"/>
      </c:valAx>
      <c:valAx>
        <c:axId val="8445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2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Consumption!$D$10:$D$21</c:f>
              <c:numCache>
                <c:formatCode>0.00</c:formatCode>
                <c:ptCount val="12"/>
                <c:pt idx="0">
                  <c:v>751.57009042842367</c:v>
                </c:pt>
                <c:pt idx="1">
                  <c:v>726.25333333333333</c:v>
                </c:pt>
                <c:pt idx="2">
                  <c:v>691.67</c:v>
                </c:pt>
                <c:pt idx="3">
                  <c:v>657.08666666666659</c:v>
                </c:pt>
                <c:pt idx="4">
                  <c:v>631.76990957157625</c:v>
                </c:pt>
                <c:pt idx="5">
                  <c:v>622.50333333333333</c:v>
                </c:pt>
                <c:pt idx="6">
                  <c:v>631.76990957157625</c:v>
                </c:pt>
                <c:pt idx="7">
                  <c:v>657.08666666666659</c:v>
                </c:pt>
                <c:pt idx="8">
                  <c:v>691.67</c:v>
                </c:pt>
                <c:pt idx="9">
                  <c:v>726.25333333333333</c:v>
                </c:pt>
                <c:pt idx="10">
                  <c:v>751.57009042842367</c:v>
                </c:pt>
                <c:pt idx="11">
                  <c:v>760.83666666666659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035-880B-81DE9C52D6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99590703"/>
        <c:axId val="1891626943"/>
      </c:barChart>
      <c:catAx>
        <c:axId val="159959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891626943"/>
        <c:crosses val="autoZero"/>
        <c:auto val="1"/>
        <c:lblAlgn val="ctr"/>
        <c:lblOffset val="100"/>
        <c:noMultiLvlLbl val="0"/>
      </c:catAx>
      <c:valAx>
        <c:axId val="189162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CA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5995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'Analysis (Nothing)'!$E$6:$E$45</c:f>
              <c:numCache>
                <c:formatCode>_("$"* #,##0.00_);_("$"* \(#,##0.00\);_("$"* "-"??_);_(@_)</c:formatCode>
                <c:ptCount val="40"/>
                <c:pt idx="0">
                  <c:v>991.12766394682353</c:v>
                </c:pt>
                <c:pt idx="1">
                  <c:v>1015.7937476934148</c:v>
                </c:pt>
                <c:pt idx="2">
                  <c:v>1041.1987880564473</c:v>
                </c:pt>
                <c:pt idx="3">
                  <c:v>1067.3652225431463</c:v>
                </c:pt>
                <c:pt idx="4">
                  <c:v>1094.3161705438426</c:v>
                </c:pt>
                <c:pt idx="5">
                  <c:v>1122.07545405579</c:v>
                </c:pt>
                <c:pt idx="6">
                  <c:v>1150.6676190368253</c:v>
                </c:pt>
                <c:pt idx="7">
                  <c:v>1180.1179574080081</c:v>
                </c:pt>
                <c:pt idx="8">
                  <c:v>1210.4525297249754</c:v>
                </c:pt>
                <c:pt idx="9">
                  <c:v>1241.6981885383186</c:v>
                </c:pt>
                <c:pt idx="10">
                  <c:v>1273.8826024639402</c:v>
                </c:pt>
                <c:pt idx="11">
                  <c:v>1307.0342809849549</c:v>
                </c:pt>
                <c:pt idx="12">
                  <c:v>1341.1826000073775</c:v>
                </c:pt>
                <c:pt idx="13">
                  <c:v>1376.3578281925002</c:v>
                </c:pt>
                <c:pt idx="14">
                  <c:v>1412.5911540895718</c:v>
                </c:pt>
                <c:pt idx="15">
                  <c:v>1449.9147140930893</c:v>
                </c:pt>
                <c:pt idx="16">
                  <c:v>1488.3616212497839</c:v>
                </c:pt>
                <c:pt idx="17">
                  <c:v>1527.9659949411005</c:v>
                </c:pt>
                <c:pt idx="18">
                  <c:v>1568.7629914677998</c:v>
                </c:pt>
                <c:pt idx="19">
                  <c:v>1610.7888355640896</c:v>
                </c:pt>
                <c:pt idx="20">
                  <c:v>1654.08085286954</c:v>
                </c:pt>
                <c:pt idx="21">
                  <c:v>1698.6775033878853</c:v>
                </c:pt>
                <c:pt idx="22">
                  <c:v>1744.6184159627187</c:v>
                </c:pt>
                <c:pt idx="23">
                  <c:v>1791.9444238009685</c:v>
                </c:pt>
                <c:pt idx="24">
                  <c:v>1840.6976010760172</c:v>
                </c:pt>
                <c:pt idx="25">
                  <c:v>1890.9213006432642</c:v>
                </c:pt>
                <c:pt idx="26">
                  <c:v>1942.6601929019441</c:v>
                </c:pt>
                <c:pt idx="27">
                  <c:v>1995.9603058380428</c:v>
                </c:pt>
                <c:pt idx="28">
                  <c:v>2050.869066284205</c:v>
                </c:pt>
                <c:pt idx="29">
                  <c:v>2107.4353424336114</c:v>
                </c:pt>
                <c:pt idx="30">
                  <c:v>2165.7094876459555</c:v>
                </c:pt>
                <c:pt idx="31">
                  <c:v>2225.7433855847653</c:v>
                </c:pt>
                <c:pt idx="32">
                  <c:v>2287.5904967265615</c:v>
                </c:pt>
                <c:pt idx="33">
                  <c:v>2351.3059062835123</c:v>
                </c:pt>
                <c:pt idx="34">
                  <c:v>2416.9463735825711</c:v>
                </c:pt>
                <c:pt idx="35">
                  <c:v>2484.5703829453537</c:v>
                </c:pt>
                <c:pt idx="36">
                  <c:v>2554.2381961143528</c:v>
                </c:pt>
                <c:pt idx="37">
                  <c:v>2626.0119062725157</c:v>
                </c:pt>
                <c:pt idx="38">
                  <c:v>2699.9554937045791</c:v>
                </c:pt>
                <c:pt idx="39">
                  <c:v>2776.1348831500727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C-450B-ACA8-764A87DF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44912"/>
        <c:axId val="647242616"/>
      </c:lineChart>
      <c:catAx>
        <c:axId val="647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47242616"/>
        <c:crosses val="autoZero"/>
        <c:auto val="1"/>
        <c:lblAlgn val="ctr"/>
        <c:lblOffset val="100"/>
        <c:noMultiLvlLbl val="0"/>
      </c:catAx>
      <c:valAx>
        <c:axId val="64724261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472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Solar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'Analysis (A)'!$C$5:$C$16</c:f>
              <c:numCache>
                <c:formatCode>0</c:formatCode>
                <c:ptCount val="12"/>
                <c:pt idx="0">
                  <c:v>13753.440772326237</c:v>
                </c:pt>
                <c:pt idx="1">
                  <c:v>20806.764887288791</c:v>
                </c:pt>
                <c:pt idx="2">
                  <c:v>37817.839176906076</c:v>
                </c:pt>
                <c:pt idx="3">
                  <c:v>65097.661234867322</c:v>
                </c:pt>
                <c:pt idx="4">
                  <c:v>96641.853344306641</c:v>
                </c:pt>
                <c:pt idx="5">
                  <c:v>120434.00554437317</c:v>
                </c:pt>
                <c:pt idx="6">
                  <c:v>125226.58248630546</c:v>
                </c:pt>
                <c:pt idx="7">
                  <c:v>108433.79109665324</c:v>
                </c:pt>
                <c:pt idx="8">
                  <c:v>78117.193481840761</c:v>
                </c:pt>
                <c:pt idx="9">
                  <c:v>47272.298971132608</c:v>
                </c:pt>
                <c:pt idx="10">
                  <c:v>25468.065935262166</c:v>
                </c:pt>
                <c:pt idx="11">
                  <c:v>14981.617071274102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DD45-8873-D6955988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67999"/>
        <c:axId val="559245775"/>
      </c:barChart>
      <c:catAx>
        <c:axId val="55626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9245775"/>
        <c:crosses val="autoZero"/>
        <c:auto val="1"/>
        <c:lblAlgn val="ctr"/>
        <c:lblOffset val="100"/>
        <c:noMultiLvlLbl val="0"/>
      </c:catAx>
      <c:valAx>
        <c:axId val="5592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62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Replacement Analysis for Alt. A Panels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Defender Marg. 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(A)'!$J$91:$J$130</c:f>
              <c:numCache>
                <c:formatCode>_("$"* #,##0.00_);_("$"* \(#,##0.00\);_("$"* "-"??_);_(@_)</c:formatCode>
                <c:ptCount val="40"/>
                <c:pt idx="0">
                  <c:v>0.45921955647213225</c:v>
                </c:pt>
                <c:pt idx="1">
                  <c:v>0.95772182359473279</c:v>
                </c:pt>
                <c:pt idx="2">
                  <c:v>1.4982101909027954</c:v>
                </c:pt>
                <c:pt idx="3">
                  <c:v>2.0835588546789783</c:v>
                </c:pt>
                <c:pt idx="4">
                  <c:v>2.716823080726285</c:v>
                </c:pt>
                <c:pt idx="5">
                  <c:v>3.4012500629345075</c:v>
                </c:pt>
                <c:pt idx="6">
                  <c:v>4.140290411375843</c:v>
                </c:pt>
                <c:pt idx="7">
                  <c:v>4.9376103055395717</c:v>
                </c:pt>
                <c:pt idx="8">
                  <c:v>5.7971043502933242</c:v>
                </c:pt>
                <c:pt idx="9">
                  <c:v>6.7229091742437106</c:v>
                </c:pt>
                <c:pt idx="10">
                  <c:v>7.7194178123692829</c:v>
                </c:pt>
                <c:pt idx="11">
                  <c:v>8.7912949171184529</c:v>
                </c:pt>
                <c:pt idx="12">
                  <c:v>9.9434928446119759</c:v>
                </c:pt>
                <c:pt idx="13">
                  <c:v>11.181268665170075</c:v>
                </c:pt>
                <c:pt idx="14">
                  <c:v>12.510202150105428</c:v>
                </c:pt>
                <c:pt idx="15">
                  <c:v>13.936214789593205</c:v>
                </c:pt>
                <c:pt idx="16">
                  <c:v>15.465589899455564</c:v>
                </c:pt>
                <c:pt idx="17">
                  <c:v>17.104993877889157</c:v>
                </c:pt>
                <c:pt idx="18">
                  <c:v>18.861498676529212</c:v>
                </c:pt>
                <c:pt idx="19">
                  <c:v>20.742605553792028</c:v>
                </c:pt>
                <c:pt idx="20">
                  <c:v>22.756270182179211</c:v>
                </c:pt>
                <c:pt idx="21">
                  <c:v>24.910929185171195</c:v>
                </c:pt>
                <c:pt idx="22">
                  <c:v>27.215528183497526</c:v>
                </c:pt>
                <c:pt idx="23">
                  <c:v>29.679551434955954</c:v>
                </c:pt>
                <c:pt idx="24">
                  <c:v>32.313053156576167</c:v>
                </c:pt>
                <c:pt idx="25">
                  <c:v>35.126690622797874</c:v>
                </c:pt>
                <c:pt idx="26">
                  <c:v>38.131759138471871</c:v>
                </c:pt>
                <c:pt idx="27">
                  <c:v>41.340228990910099</c:v>
                </c:pt>
                <c:pt idx="28">
                  <c:v>44.764784490921521</c:v>
                </c:pt>
                <c:pt idx="29">
                  <c:v>48.418865218790984</c:v>
                </c:pt>
                <c:pt idx="30">
                  <c:v>52.31670959750501</c:v>
                </c:pt>
                <c:pt idx="31">
                  <c:v>56.473400922217358</c:v>
                </c:pt>
                <c:pt idx="32">
                  <c:v>60.904915982000126</c:v>
                </c:pt>
                <c:pt idx="33">
                  <c:v>65.628176417358389</c:v>
                </c:pt>
                <c:pt idx="34">
                  <c:v>70.661102964821282</c:v>
                </c:pt>
                <c:pt idx="35">
                  <c:v>76.022672748181179</c:v>
                </c:pt>
                <c:pt idx="36">
                  <c:v>81.732979784655868</c:v>
                </c:pt>
                <c:pt idx="37">
                  <c:v>87.813298883423286</c:v>
                </c:pt>
                <c:pt idx="38">
                  <c:v>94.286153123646756</c:v>
                </c:pt>
                <c:pt idx="39">
                  <c:v>101.17538510929921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D-FF4A-9AF4-C56FA202B988}"/>
            </c:ext>
          </c:extLst>
        </c:ser>
        <c:ser>
          <c:idx val="1"/>
          <c:order val="1"/>
          <c:tx>
            <c:v>Challenger EUAC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(A)'!$L$91:$L$130</c:f>
              <c:numCache>
                <c:formatCode>"$"#,##0.00_);[Red]\("$"#,##0.00\)</c:formatCode>
                <c:ptCount val="40"/>
                <c:pt idx="0">
                  <c:v>1000.0592195564722</c:v>
                </c:pt>
                <c:pt idx="1">
                  <c:v>500.50478717574435</c:v>
                </c:pt>
                <c:pt idx="2">
                  <c:v>334.16148361210867</c:v>
                </c:pt>
                <c:pt idx="3">
                  <c:v>251.12968994182455</c:v>
                </c:pt>
                <c:pt idx="4">
                  <c:v>201.42979826681801</c:v>
                </c:pt>
                <c:pt idx="5">
                  <c:v>168.40221198671958</c:v>
                </c:pt>
                <c:pt idx="6">
                  <c:v>144.90734607671303</c:v>
                </c:pt>
                <c:pt idx="7">
                  <c:v>127.37562737131377</c:v>
                </c:pt>
                <c:pt idx="8">
                  <c:v>113.82416152086913</c:v>
                </c:pt>
                <c:pt idx="9">
                  <c:v>103.06339995423902</c:v>
                </c:pt>
                <c:pt idx="10">
                  <c:v>94.33653412051477</c:v>
                </c:pt>
                <c:pt idx="11">
                  <c:v>87.139192767484886</c:v>
                </c:pt>
                <c:pt idx="12">
                  <c:v>81.122356009897501</c:v>
                </c:pt>
                <c:pt idx="13">
                  <c:v>76.036877796051073</c:v>
                </c:pt>
                <c:pt idx="14">
                  <c:v>71.700199523439025</c:v>
                </c:pt>
                <c:pt idx="15">
                  <c:v>67.975546178886376</c:v>
                </c:pt>
                <c:pt idx="16">
                  <c:v>64.758465143188658</c:v>
                </c:pt>
                <c:pt idx="17">
                  <c:v>61.967852182551646</c:v>
                </c:pt>
                <c:pt idx="18">
                  <c:v>59.539811455599462</c:v>
                </c:pt>
                <c:pt idx="19">
                  <c:v>57.423357633278464</c:v>
                </c:pt>
                <c:pt idx="20">
                  <c:v>55.577346096734843</c:v>
                </c:pt>
                <c:pt idx="21">
                  <c:v>53.968240463733821</c:v>
                </c:pt>
                <c:pt idx="22">
                  <c:v>52.568462607097587</c:v>
                </c:pt>
                <c:pt idx="23">
                  <c:v>51.355155274208769</c:v>
                </c:pt>
                <c:pt idx="24">
                  <c:v>50.30924178179211</c:v>
                </c:pt>
                <c:pt idx="25">
                  <c:v>49.414702806643788</c:v>
                </c:pt>
                <c:pt idx="26">
                  <c:v>48.65801399061661</c:v>
                </c:pt>
                <c:pt idx="27">
                  <c:v>48.027704158711913</c:v>
                </c:pt>
                <c:pt idx="28">
                  <c:v>47.514005039159528</c:v>
                </c:pt>
                <c:pt idx="29">
                  <c:v>47.108571137390129</c:v>
                </c:pt>
                <c:pt idx="30">
                  <c:v>46.804253925048073</c:v>
                </c:pt>
                <c:pt idx="31">
                  <c:v>46.594918464962788</c:v>
                </c:pt>
                <c:pt idx="32">
                  <c:v>46.475293472831282</c:v>
                </c:pt>
                <c:pt idx="33">
                  <c:v>46.440847933891078</c:v>
                </c:pt>
                <c:pt idx="34">
                  <c:v>46.487688965883919</c:v>
                </c:pt>
                <c:pt idx="35">
                  <c:v>46.612476799377944</c:v>
                </c:pt>
                <c:pt idx="36">
                  <c:v>46.812353639314523</c:v>
                </c:pt>
                <c:pt idx="37">
                  <c:v>47.084883852992888</c:v>
                </c:pt>
                <c:pt idx="38">
                  <c:v>47.428003453821077</c:v>
                </c:pt>
                <c:pt idx="39">
                  <c:v>47.839977256351432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D-FF4A-9AF4-C56FA202B988}"/>
            </c:ext>
          </c:extLst>
        </c:ser>
        <c:ser>
          <c:idx val="2"/>
          <c:order val="2"/>
          <c:tx>
            <c:v>Challenger Minimum Cost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(A)'!$F$91:$F$130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(A)'!$N$91:$N$130</c:f>
              <c:numCache>
                <c:formatCode>"$"#,##0.00_);[Red]\("$"#,##0.00\)</c:formatCode>
                <c:ptCount val="40"/>
                <c:pt idx="0">
                  <c:v>46.440847933891078</c:v>
                </c:pt>
                <c:pt idx="1">
                  <c:v>46.440847933891078</c:v>
                </c:pt>
                <c:pt idx="2">
                  <c:v>46.440847933891078</c:v>
                </c:pt>
                <c:pt idx="3">
                  <c:v>46.440847933891078</c:v>
                </c:pt>
                <c:pt idx="4">
                  <c:v>46.440847933891078</c:v>
                </c:pt>
                <c:pt idx="5">
                  <c:v>46.440847933891078</c:v>
                </c:pt>
                <c:pt idx="6">
                  <c:v>46.440847933891078</c:v>
                </c:pt>
                <c:pt idx="7">
                  <c:v>46.440847933891078</c:v>
                </c:pt>
                <c:pt idx="8">
                  <c:v>46.440847933891078</c:v>
                </c:pt>
                <c:pt idx="9">
                  <c:v>46.440847933891078</c:v>
                </c:pt>
                <c:pt idx="10">
                  <c:v>46.440847933891078</c:v>
                </c:pt>
                <c:pt idx="11">
                  <c:v>46.440847933891078</c:v>
                </c:pt>
                <c:pt idx="12">
                  <c:v>46.440847933891078</c:v>
                </c:pt>
                <c:pt idx="13">
                  <c:v>46.440847933891078</c:v>
                </c:pt>
                <c:pt idx="14">
                  <c:v>46.440847933891078</c:v>
                </c:pt>
                <c:pt idx="15">
                  <c:v>46.440847933891078</c:v>
                </c:pt>
                <c:pt idx="16">
                  <c:v>46.440847933891078</c:v>
                </c:pt>
                <c:pt idx="17">
                  <c:v>46.440847933891078</c:v>
                </c:pt>
                <c:pt idx="18">
                  <c:v>46.440847933891078</c:v>
                </c:pt>
                <c:pt idx="19">
                  <c:v>46.440847933891078</c:v>
                </c:pt>
                <c:pt idx="20">
                  <c:v>46.440847933891078</c:v>
                </c:pt>
                <c:pt idx="21">
                  <c:v>46.440847933891078</c:v>
                </c:pt>
                <c:pt idx="22">
                  <c:v>46.440847933891078</c:v>
                </c:pt>
                <c:pt idx="23">
                  <c:v>46.440847933891078</c:v>
                </c:pt>
                <c:pt idx="24">
                  <c:v>46.440847933891078</c:v>
                </c:pt>
                <c:pt idx="25">
                  <c:v>46.440847933891078</c:v>
                </c:pt>
                <c:pt idx="26">
                  <c:v>46.440847933891078</c:v>
                </c:pt>
                <c:pt idx="27">
                  <c:v>46.440847933891078</c:v>
                </c:pt>
                <c:pt idx="28">
                  <c:v>46.440847933891078</c:v>
                </c:pt>
                <c:pt idx="29">
                  <c:v>46.440847933891078</c:v>
                </c:pt>
                <c:pt idx="30">
                  <c:v>46.440847933891078</c:v>
                </c:pt>
                <c:pt idx="31">
                  <c:v>46.440847933891078</c:v>
                </c:pt>
                <c:pt idx="32">
                  <c:v>46.440847933891078</c:v>
                </c:pt>
                <c:pt idx="33">
                  <c:v>46.440847933891078</c:v>
                </c:pt>
                <c:pt idx="34">
                  <c:v>46.440847933891078</c:v>
                </c:pt>
                <c:pt idx="35">
                  <c:v>46.440847933891078</c:v>
                </c:pt>
                <c:pt idx="36">
                  <c:v>46.440847933891078</c:v>
                </c:pt>
                <c:pt idx="37">
                  <c:v>46.440847933891078</c:v>
                </c:pt>
                <c:pt idx="38">
                  <c:v>46.440847933891078</c:v>
                </c:pt>
                <c:pt idx="39">
                  <c:v>46.440847933891078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D-FF4A-9AF4-C56FA202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01039"/>
        <c:axId val="558639343"/>
      </c:scatterChart>
      <c:valAx>
        <c:axId val="58750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58639343"/>
        <c:crosses val="autoZero"/>
        <c:crossBetween val="midCat"/>
      </c:valAx>
      <c:valAx>
        <c:axId val="55863934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8750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/>
              <a:t>Replacement Analysis for Alt. B Panels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Defender Marg. 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(B)'!$L$91:$L$130</c:f>
              <c:numCache>
                <c:formatCode>_("$"* #,##0.00_);_("$"* \(#,##0.00\);_("$"* "-"??_);_(@_)</c:formatCode>
                <c:ptCount val="40"/>
                <c:pt idx="0">
                  <c:v>5.7402444559016512</c:v>
                </c:pt>
                <c:pt idx="1">
                  <c:v>11.971522794934156</c:v>
                </c:pt>
                <c:pt idx="2">
                  <c:v>18.727627386284937</c:v>
                </c:pt>
                <c:pt idx="3">
                  <c:v>26.04448568348722</c:v>
                </c:pt>
                <c:pt idx="4">
                  <c:v>33.960288509078552</c:v>
                </c:pt>
                <c:pt idx="5">
                  <c:v>42.515625786681333</c:v>
                </c:pt>
                <c:pt idx="6">
                  <c:v>51.75363014219802</c:v>
                </c:pt>
                <c:pt idx="7">
                  <c:v>61.720128819244621</c:v>
                </c:pt>
                <c:pt idx="8">
                  <c:v>72.463804378666524</c:v>
                </c:pt>
                <c:pt idx="9">
                  <c:v>84.036364678046354</c:v>
                </c:pt>
                <c:pt idx="10">
                  <c:v>96.492722654616003</c:v>
                </c:pt>
                <c:pt idx="11">
                  <c:v>109.89118646398062</c:v>
                </c:pt>
                <c:pt idx="12">
                  <c:v>124.29366055764966</c:v>
                </c:pt>
                <c:pt idx="13">
                  <c:v>139.76585831462589</c:v>
                </c:pt>
                <c:pt idx="14">
                  <c:v>156.37752687631783</c:v>
                </c:pt>
                <c:pt idx="15">
                  <c:v>174.20268486991503</c:v>
                </c:pt>
                <c:pt idx="16">
                  <c:v>193.31987374319451</c:v>
                </c:pt>
                <c:pt idx="17">
                  <c:v>213.81242347361444</c:v>
                </c:pt>
                <c:pt idx="18">
                  <c:v>235.76873345661505</c:v>
                </c:pt>
                <c:pt idx="19">
                  <c:v>259.28256942240029</c:v>
                </c:pt>
                <c:pt idx="20">
                  <c:v>284.45337727724007</c:v>
                </c:pt>
                <c:pt idx="21">
                  <c:v>311.38661481463987</c:v>
                </c:pt>
                <c:pt idx="22">
                  <c:v>340.19410229371903</c:v>
                </c:pt>
                <c:pt idx="23">
                  <c:v>370.99439293694928</c:v>
                </c:pt>
                <c:pt idx="24">
                  <c:v>403.91316445720196</c:v>
                </c:pt>
                <c:pt idx="25">
                  <c:v>439.08363278497336</c:v>
                </c:pt>
                <c:pt idx="26">
                  <c:v>476.64698923089827</c:v>
                </c:pt>
                <c:pt idx="27">
                  <c:v>516.75286238637614</c:v>
                </c:pt>
                <c:pt idx="28">
                  <c:v>559.55980613651877</c:v>
                </c:pt>
                <c:pt idx="29">
                  <c:v>605.23581523488713</c:v>
                </c:pt>
                <c:pt idx="30">
                  <c:v>653.95886996881245</c:v>
                </c:pt>
                <c:pt idx="31">
                  <c:v>705.91751152771667</c:v>
                </c:pt>
                <c:pt idx="32">
                  <c:v>761.31144977500139</c:v>
                </c:pt>
                <c:pt idx="33">
                  <c:v>820.35220521697954</c:v>
                </c:pt>
                <c:pt idx="34">
                  <c:v>883.26378706026571</c:v>
                </c:pt>
                <c:pt idx="35">
                  <c:v>950.28340935226447</c:v>
                </c:pt>
                <c:pt idx="36">
                  <c:v>1021.6622473081981</c:v>
                </c:pt>
                <c:pt idx="37">
                  <c:v>1097.6662360427908</c:v>
                </c:pt>
                <c:pt idx="38">
                  <c:v>1178.5769140455839</c:v>
                </c:pt>
                <c:pt idx="39">
                  <c:v>1264.6923138662398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D-8E43-BAD4-E576B12E8C82}"/>
            </c:ext>
          </c:extLst>
        </c:ser>
        <c:ser>
          <c:idx val="1"/>
          <c:order val="1"/>
          <c:tx>
            <c:v>Challenger EUAC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(B)'!$N$91:$N$130</c:f>
              <c:numCache>
                <c:formatCode>"$"#,##0.00_);[Red]\("$"#,##0.00\)</c:formatCode>
                <c:ptCount val="40"/>
                <c:pt idx="0">
                  <c:v>6568.1712597038504</c:v>
                </c:pt>
                <c:pt idx="1">
                  <c:v>3332.093421885862</c:v>
                </c:pt>
                <c:pt idx="2">
                  <c:v>2266.4562885048581</c:v>
                </c:pt>
                <c:pt idx="3">
                  <c:v>1742.1570886286956</c:v>
                </c:pt>
                <c:pt idx="4">
                  <c:v>1433.4820673286379</c:v>
                </c:pt>
                <c:pt idx="5">
                  <c:v>1231.9406160032261</c:v>
                </c:pt>
                <c:pt idx="6">
                  <c:v>1091.0993460994248</c:v>
                </c:pt>
                <c:pt idx="7">
                  <c:v>987.79111018016454</c:v>
                </c:pt>
                <c:pt idx="8">
                  <c:v>909.1850851271613</c:v>
                </c:pt>
                <c:pt idx="9">
                  <c:v>847.61514312604061</c:v>
                </c:pt>
                <c:pt idx="10">
                  <c:v>798.22939241065046</c:v>
                </c:pt>
                <c:pt idx="11">
                  <c:v>757.81518366509454</c:v>
                </c:pt>
                <c:pt idx="12">
                  <c:v>724.16662058991665</c:v>
                </c:pt>
                <c:pt idx="13">
                  <c:v>695.72330680967139</c:v>
                </c:pt>
                <c:pt idx="14">
                  <c:v>671.35373866589066</c:v>
                </c:pt>
                <c:pt idx="15">
                  <c:v>650.2200496994875</c:v>
                </c:pt>
                <c:pt idx="16">
                  <c:v>631.69059902548724</c:v>
                </c:pt>
                <c:pt idx="17">
                  <c:v>615.28178893572624</c:v>
                </c:pt>
                <c:pt idx="18">
                  <c:v>600.61833549773382</c:v>
                </c:pt>
                <c:pt idx="19">
                  <c:v>587.40552700477792</c:v>
                </c:pt>
                <c:pt idx="20">
                  <c:v>575.40946856521782</c:v>
                </c:pt>
                <c:pt idx="21">
                  <c:v>564.44276674473963</c:v>
                </c:pt>
                <c:pt idx="22">
                  <c:v>554.35399417294218</c:v>
                </c:pt>
                <c:pt idx="23">
                  <c:v>545.01982774350313</c:v>
                </c:pt>
                <c:pt idx="24">
                  <c:v>536.33910838914198</c:v>
                </c:pt>
                <c:pt idx="25">
                  <c:v>528.22830207999016</c:v>
                </c:pt>
                <c:pt idx="26">
                  <c:v>520.61799611735466</c:v>
                </c:pt>
                <c:pt idx="27">
                  <c:v>513.45016956298059</c:v>
                </c:pt>
                <c:pt idx="28">
                  <c:v>506.67604888073265</c:v>
                </c:pt>
                <c:pt idx="29">
                  <c:v>500.2544104181984</c:v>
                </c:pt>
                <c:pt idx="30">
                  <c:v>494.15022721676826</c:v>
                </c:pt>
                <c:pt idx="31">
                  <c:v>488.33358340178927</c:v>
                </c:pt>
                <c:pt idx="32">
                  <c:v>482.77879813035537</c:v>
                </c:pt>
                <c:pt idx="33">
                  <c:v>477.46371483373372</c:v>
                </c:pt>
                <c:pt idx="34">
                  <c:v>472.36912170410068</c:v>
                </c:pt>
                <c:pt idx="35">
                  <c:v>467.47827702704359</c:v>
                </c:pt>
                <c:pt idx="36">
                  <c:v>462.77651874490903</c:v>
                </c:pt>
                <c:pt idx="37">
                  <c:v>458.25094204371305</c:v>
                </c:pt>
                <c:pt idx="38">
                  <c:v>453.89013214126339</c:v>
                </c:pt>
                <c:pt idx="39">
                  <c:v>449.683942072501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FD-8E43-BAD4-E576B12E8C82}"/>
            </c:ext>
          </c:extLst>
        </c:ser>
        <c:ser>
          <c:idx val="2"/>
          <c:order val="2"/>
          <c:tx>
            <c:v>Challenger Minimum Cost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'Analysis (B)'!$H$91:$H$130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(B)'!$O$91:$O$130</c:f>
              <c:numCache>
                <c:formatCode>"$"#,##0.00_);[Red]\("$"#,##0.00\)</c:formatCode>
                <c:ptCount val="40"/>
                <c:pt idx="0">
                  <c:v>449.683942072501</c:v>
                </c:pt>
                <c:pt idx="1">
                  <c:v>449.683942072501</c:v>
                </c:pt>
                <c:pt idx="2">
                  <c:v>449.683942072501</c:v>
                </c:pt>
                <c:pt idx="3">
                  <c:v>449.683942072501</c:v>
                </c:pt>
                <c:pt idx="4">
                  <c:v>449.683942072501</c:v>
                </c:pt>
                <c:pt idx="5">
                  <c:v>449.683942072501</c:v>
                </c:pt>
                <c:pt idx="6">
                  <c:v>449.683942072501</c:v>
                </c:pt>
                <c:pt idx="7">
                  <c:v>449.683942072501</c:v>
                </c:pt>
                <c:pt idx="8">
                  <c:v>449.683942072501</c:v>
                </c:pt>
                <c:pt idx="9">
                  <c:v>449.683942072501</c:v>
                </c:pt>
                <c:pt idx="10">
                  <c:v>449.683942072501</c:v>
                </c:pt>
                <c:pt idx="11">
                  <c:v>449.683942072501</c:v>
                </c:pt>
                <c:pt idx="12">
                  <c:v>449.683942072501</c:v>
                </c:pt>
                <c:pt idx="13">
                  <c:v>449.683942072501</c:v>
                </c:pt>
                <c:pt idx="14">
                  <c:v>449.683942072501</c:v>
                </c:pt>
                <c:pt idx="15">
                  <c:v>449.683942072501</c:v>
                </c:pt>
                <c:pt idx="16">
                  <c:v>449.683942072501</c:v>
                </c:pt>
                <c:pt idx="17">
                  <c:v>449.683942072501</c:v>
                </c:pt>
                <c:pt idx="18">
                  <c:v>449.683942072501</c:v>
                </c:pt>
                <c:pt idx="19">
                  <c:v>449.683942072501</c:v>
                </c:pt>
                <c:pt idx="20">
                  <c:v>449.683942072501</c:v>
                </c:pt>
                <c:pt idx="21">
                  <c:v>449.683942072501</c:v>
                </c:pt>
                <c:pt idx="22">
                  <c:v>449.683942072501</c:v>
                </c:pt>
                <c:pt idx="23">
                  <c:v>449.683942072501</c:v>
                </c:pt>
                <c:pt idx="24">
                  <c:v>449.683942072501</c:v>
                </c:pt>
                <c:pt idx="25">
                  <c:v>449.683942072501</c:v>
                </c:pt>
                <c:pt idx="26">
                  <c:v>449.683942072501</c:v>
                </c:pt>
                <c:pt idx="27">
                  <c:v>449.683942072501</c:v>
                </c:pt>
                <c:pt idx="28">
                  <c:v>449.683942072501</c:v>
                </c:pt>
                <c:pt idx="29">
                  <c:v>449.683942072501</c:v>
                </c:pt>
                <c:pt idx="30">
                  <c:v>449.683942072501</c:v>
                </c:pt>
                <c:pt idx="31">
                  <c:v>449.683942072501</c:v>
                </c:pt>
                <c:pt idx="32">
                  <c:v>449.683942072501</c:v>
                </c:pt>
                <c:pt idx="33">
                  <c:v>449.683942072501</c:v>
                </c:pt>
                <c:pt idx="34">
                  <c:v>449.683942072501</c:v>
                </c:pt>
                <c:pt idx="35">
                  <c:v>449.683942072501</c:v>
                </c:pt>
                <c:pt idx="36">
                  <c:v>449.683942072501</c:v>
                </c:pt>
                <c:pt idx="37">
                  <c:v>449.683942072501</c:v>
                </c:pt>
                <c:pt idx="38">
                  <c:v>449.683942072501</c:v>
                </c:pt>
                <c:pt idx="39">
                  <c:v>449.683942072501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FD-8E43-BAD4-E576B12E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72319"/>
        <c:axId val="560126847"/>
      </c:scatterChart>
      <c:valAx>
        <c:axId val="5954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60126847"/>
        <c:crosses val="autoZero"/>
        <c:crossBetween val="midCat"/>
      </c:valAx>
      <c:valAx>
        <c:axId val="560126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547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Power Draw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Solar generated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'Analysis (B)'!$C$6:$C$17</c:f>
              <c:numCache>
                <c:formatCode>0</c:formatCode>
                <c:ptCount val="12"/>
                <c:pt idx="0">
                  <c:v>171.91800965407796</c:v>
                </c:pt>
                <c:pt idx="1">
                  <c:v>260.08456109110989</c:v>
                </c:pt>
                <c:pt idx="2">
                  <c:v>472.72298971132597</c:v>
                </c:pt>
                <c:pt idx="3">
                  <c:v>813.72076543584149</c:v>
                </c:pt>
                <c:pt idx="4">
                  <c:v>1208.023166803833</c:v>
                </c:pt>
                <c:pt idx="5">
                  <c:v>1505.4250693046647</c:v>
                </c:pt>
                <c:pt idx="6">
                  <c:v>1565.3322810788181</c:v>
                </c:pt>
                <c:pt idx="7">
                  <c:v>1355.4223887081655</c:v>
                </c:pt>
                <c:pt idx="8">
                  <c:v>976.46491852300971</c:v>
                </c:pt>
                <c:pt idx="9">
                  <c:v>590.90373713915756</c:v>
                </c:pt>
                <c:pt idx="10">
                  <c:v>318.35082419077713</c:v>
                </c:pt>
                <c:pt idx="11">
                  <c:v>187.27021339092627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424-A1C5-208A5C46AE08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'Analysis (B)'!$E$6:$E$17</c:f>
              <c:numCache>
                <c:formatCode>0</c:formatCode>
                <c:ptCount val="12"/>
                <c:pt idx="0">
                  <c:v>579.65208077434568</c:v>
                </c:pt>
                <c:pt idx="1">
                  <c:v>466.16877224222344</c:v>
                </c:pt>
                <c:pt idx="2">
                  <c:v>218.94701028867399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135.34959619417577</c:v>
                </c:pt>
                <c:pt idx="10">
                  <c:v>433.21926623764654</c:v>
                </c:pt>
                <c:pt idx="11">
                  <c:v>573.56645327574029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424-A1C5-208A5C46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88119704"/>
        <c:axId val="627703040"/>
      </c:barChart>
      <c:catAx>
        <c:axId val="38811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3040"/>
        <c:crosses val="autoZero"/>
        <c:auto val="1"/>
        <c:lblAlgn val="ctr"/>
        <c:lblOffset val="100"/>
        <c:noMultiLvlLbl val="0"/>
      </c:catAx>
      <c:valAx>
        <c:axId val="627703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/>
              <a:t>Replacement Analysis for Alt. C Panels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Defender Marg. 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(C)'!$H$91:$H$130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(C)'!$L$91:$L$130</c:f>
              <c:numCache>
                <c:formatCode>_("$"* #,##0.00_);_("$"* \(#,##0.00\);_("$"* "-"??_);_(@_)</c:formatCode>
                <c:ptCount val="40"/>
                <c:pt idx="0">
                  <c:v>11.480488911803302</c:v>
                </c:pt>
                <c:pt idx="1">
                  <c:v>23.943045589868312</c:v>
                </c:pt>
                <c:pt idx="2">
                  <c:v>37.455254772569873</c:v>
                </c:pt>
                <c:pt idx="3">
                  <c:v>52.088971366974441</c:v>
                </c:pt>
                <c:pt idx="4">
                  <c:v>67.920577018157104</c:v>
                </c:pt>
                <c:pt idx="5">
                  <c:v>85.031251573362667</c:v>
                </c:pt>
                <c:pt idx="6">
                  <c:v>103.50726028439604</c:v>
                </c:pt>
                <c:pt idx="7">
                  <c:v>123.44025763848924</c:v>
                </c:pt>
                <c:pt idx="8">
                  <c:v>144.92760875733305</c:v>
                </c:pt>
                <c:pt idx="9">
                  <c:v>168.07272935609271</c:v>
                </c:pt>
                <c:pt idx="10">
                  <c:v>192.98544530923201</c:v>
                </c:pt>
                <c:pt idx="11">
                  <c:v>219.78237292796123</c:v>
                </c:pt>
                <c:pt idx="12">
                  <c:v>248.58732111529932</c:v>
                </c:pt>
                <c:pt idx="13">
                  <c:v>279.53171662925178</c:v>
                </c:pt>
                <c:pt idx="14">
                  <c:v>312.75505375263566</c:v>
                </c:pt>
                <c:pt idx="15">
                  <c:v>348.40536973983006</c:v>
                </c:pt>
                <c:pt idx="16">
                  <c:v>386.63974748638901</c:v>
                </c:pt>
                <c:pt idx="17">
                  <c:v>427.62484694722889</c:v>
                </c:pt>
                <c:pt idx="18">
                  <c:v>471.53746691323011</c:v>
                </c:pt>
                <c:pt idx="19">
                  <c:v>518.56513884480057</c:v>
                </c:pt>
                <c:pt idx="20">
                  <c:v>568.90675455448013</c:v>
                </c:pt>
                <c:pt idx="21">
                  <c:v>622.77322962927974</c:v>
                </c:pt>
                <c:pt idx="22">
                  <c:v>680.38820458743805</c:v>
                </c:pt>
                <c:pt idx="23">
                  <c:v>741.98878587389856</c:v>
                </c:pt>
                <c:pt idx="24">
                  <c:v>807.82632891440392</c:v>
                </c:pt>
                <c:pt idx="25">
                  <c:v>878.16726556994672</c:v>
                </c:pt>
                <c:pt idx="26">
                  <c:v>953.29397846179654</c:v>
                </c:pt>
                <c:pt idx="27">
                  <c:v>1033.5057247727523</c:v>
                </c:pt>
                <c:pt idx="28">
                  <c:v>1119.1196122730375</c:v>
                </c:pt>
                <c:pt idx="29">
                  <c:v>1210.4716304697743</c:v>
                </c:pt>
                <c:pt idx="30">
                  <c:v>1307.9177399376249</c:v>
                </c:pt>
                <c:pt idx="31">
                  <c:v>1411.8350230554333</c:v>
                </c:pt>
                <c:pt idx="32">
                  <c:v>1522.6228995500028</c:v>
                </c:pt>
                <c:pt idx="33">
                  <c:v>1640.7044104339591</c:v>
                </c:pt>
                <c:pt idx="34">
                  <c:v>1766.5275741205314</c:v>
                </c:pt>
                <c:pt idx="35">
                  <c:v>1900.5668187045289</c:v>
                </c:pt>
                <c:pt idx="36">
                  <c:v>2043.3244946163961</c:v>
                </c:pt>
                <c:pt idx="37">
                  <c:v>2195.3324720855817</c:v>
                </c:pt>
                <c:pt idx="38">
                  <c:v>2357.1538280911677</c:v>
                </c:pt>
                <c:pt idx="39">
                  <c:v>2529.3846277324797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8-4524-A324-43011D14414B}"/>
            </c:ext>
          </c:extLst>
        </c:ser>
        <c:ser>
          <c:idx val="1"/>
          <c:order val="1"/>
          <c:tx>
            <c:v>Challenger EUAC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'Analysis (C)'!$H$91:$H$130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(C)'!$N$91:$N$130</c:f>
            </c:numRef>
          </c:yVal>
          <c:smooth val="1"/>
          <c:extLst>
            <c:ext xmlns:c16="http://schemas.microsoft.com/office/drawing/2014/chart" uri="{C3380CC4-5D6E-409C-BE32-E72D297353CC}">
              <c16:uniqueId val="{00000001-BE28-4524-A324-43011D14414B}"/>
            </c:ext>
          </c:extLst>
        </c:ser>
        <c:ser>
          <c:idx val="2"/>
          <c:order val="2"/>
          <c:tx>
            <c:v>Challenger Minimum Cost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'Analysis (C)'!$H$91:$H$130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'Analysis (C)'!$O$91:$O$130</c:f>
            </c:numRef>
          </c:yVal>
          <c:smooth val="1"/>
          <c:extLst>
            <c:ext xmlns:c16="http://schemas.microsoft.com/office/drawing/2014/chart" uri="{C3380CC4-5D6E-409C-BE32-E72D297353CC}">
              <c16:uniqueId val="{00000002-BE28-4524-A324-43011D14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72319"/>
        <c:axId val="560126847"/>
      </c:scatterChart>
      <c:valAx>
        <c:axId val="5954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60126847"/>
        <c:crosses val="autoZero"/>
        <c:crossBetween val="midCat"/>
      </c:valAx>
      <c:valAx>
        <c:axId val="560126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9547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800" b="1" i="0" cap="all" baseline="0">
                <a:effectLst/>
              </a:rPr>
              <a:t>Monthly Power Draw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Solar Generated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'Analysis (C)'!$C$6:$C$17</c:f>
              <c:numCache>
                <c:formatCode>0</c:formatCode>
                <c:ptCount val="12"/>
                <c:pt idx="0">
                  <c:v>343.83601930815593</c:v>
                </c:pt>
                <c:pt idx="1">
                  <c:v>520.16912218221978</c:v>
                </c:pt>
                <c:pt idx="2">
                  <c:v>945.44597942265193</c:v>
                </c:pt>
                <c:pt idx="3">
                  <c:v>1627.441530871683</c:v>
                </c:pt>
                <c:pt idx="4">
                  <c:v>2416.0463336076659</c:v>
                </c:pt>
                <c:pt idx="5">
                  <c:v>3010.8501386093294</c:v>
                </c:pt>
                <c:pt idx="6">
                  <c:v>3130.6645621576363</c:v>
                </c:pt>
                <c:pt idx="7">
                  <c:v>2710.844777416331</c:v>
                </c:pt>
                <c:pt idx="8">
                  <c:v>1952.9298370460194</c:v>
                </c:pt>
                <c:pt idx="9">
                  <c:v>1181.8074742783151</c:v>
                </c:pt>
                <c:pt idx="10">
                  <c:v>636.70164838155426</c:v>
                </c:pt>
                <c:pt idx="11">
                  <c:v>374.54042678185255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B8E-898B-4D9D5C9015E1}"/>
            </c:ext>
          </c:extLst>
        </c:ser>
        <c:ser>
          <c:idx val="1"/>
          <c:order val="1"/>
          <c:tx>
            <c:v>Grid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'Analysis (C)'!$E$6:$E$17</c:f>
              <c:numCache>
                <c:formatCode>0</c:formatCode>
                <c:ptCount val="12"/>
                <c:pt idx="0">
                  <c:v>407.73407112026774</c:v>
                </c:pt>
                <c:pt idx="1">
                  <c:v>206.08421115111355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114.8684420468694</c:v>
                </c:pt>
                <c:pt idx="11">
                  <c:v>386.29623988481404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B8E-898B-4D9D5C90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6850704"/>
        <c:axId val="614420520"/>
      </c:barChart>
      <c:catAx>
        <c:axId val="61685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14420520"/>
        <c:crosses val="autoZero"/>
        <c:auto val="1"/>
        <c:lblAlgn val="ctr"/>
        <c:lblOffset val="100"/>
        <c:noMultiLvlLbl val="0"/>
      </c:catAx>
      <c:valAx>
        <c:axId val="614420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168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Sheet2!$C$2:$C$41</c:f>
              <c:numCache>
                <c:formatCode>_("$"* #,##0.00_);_("$"* \(#,##0.00\);_("$"* "-"??_);_(@_)</c:formatCode>
                <c:ptCount val="40"/>
                <c:pt idx="0">
                  <c:v>0</c:v>
                </c:pt>
                <c:pt idx="1">
                  <c:v>-1010.9502172257601</c:v>
                </c:pt>
                <c:pt idx="2">
                  <c:v>-1056.8318151002288</c:v>
                </c:pt>
                <c:pt idx="3">
                  <c:v>-1104.9284834758062</c:v>
                </c:pt>
                <c:pt idx="4">
                  <c:v>-1155.3504433462585</c:v>
                </c:pt>
                <c:pt idx="5">
                  <c:v>-1208.213476528794</c:v>
                </c:pt>
                <c:pt idx="6">
                  <c:v>-1263.6392079362199</c:v>
                </c:pt>
                <c:pt idx="7">
                  <c:v>-1321.7554022157228</c:v>
                </c:pt>
                <c:pt idx="8">
                  <c:v>-1382.6962754863248</c:v>
                </c:pt>
                <c:pt idx="9">
                  <c:v>-1446.602822944395</c:v>
                </c:pt>
                <c:pt idx="10">
                  <c:v>-1513.6231631458083</c:v>
                </c:pt>
                <c:pt idx="11">
                  <c:v>-1583.9128998145811</c:v>
                </c:pt>
                <c:pt idx="12">
                  <c:v>-1657.6355020711253</c:v>
                </c:pt>
                <c:pt idx="13">
                  <c:v>-1734.962704018805</c:v>
                </c:pt>
                <c:pt idx="14">
                  <c:v>-1816.0749246753412</c:v>
                </c:pt>
                <c:pt idx="15">
                  <c:v>-1901.161709285896</c:v>
                </c:pt>
                <c:pt idx="16">
                  <c:v>-1990.4221931075349</c:v>
                </c:pt>
                <c:pt idx="17">
                  <c:v>-2084.0655888103352</c:v>
                </c:pt>
                <c:pt idx="18">
                  <c:v>-2182.3116986987729</c:v>
                </c:pt>
                <c:pt idx="19">
                  <c:v>-2285.3914530184215</c:v>
                </c:pt>
                <c:pt idx="20">
                  <c:v>-2393.5474756774643</c:v>
                </c:pt>
                <c:pt idx="21">
                  <c:v>-2507.034678780331</c:v>
                </c:pt>
                <c:pt idx="22">
                  <c:v>-2626.1208874419963</c:v>
                </c:pt>
                <c:pt idx="23">
                  <c:v>-2751.0874964263717</c:v>
                </c:pt>
                <c:pt idx="24">
                  <c:v>-2882.2301602308967</c:v>
                </c:pt>
                <c:pt idx="25">
                  <c:v>-3019.8595183221614</c:v>
                </c:pt>
                <c:pt idx="26">
                  <c:v>-3164.3019573143101</c:v>
                </c:pt>
                <c:pt idx="27">
                  <c:v>-3315.9004119733277</c:v>
                </c:pt>
                <c:pt idx="28">
                  <c:v>-3475.0152070263471</c:v>
                </c:pt>
                <c:pt idx="29">
                  <c:v>-3642.0249418560024</c:v>
                </c:pt>
                <c:pt idx="30">
                  <c:v>-3817.3274202659391</c:v>
                </c:pt>
                <c:pt idx="31">
                  <c:v>-4001.3406276150395</c:v>
                </c:pt>
                <c:pt idx="32">
                  <c:v>-4194.5037577350849</c:v>
                </c:pt>
                <c:pt idx="33">
                  <c:v>-4397.2782921697099</c:v>
                </c:pt>
                <c:pt idx="34">
                  <c:v>-4610.1491344018832</c:v>
                </c:pt>
                <c:pt idx="35">
                  <c:v>-4833.6258018731905</c:v>
                </c:pt>
                <c:pt idx="36">
                  <c:v>-5068.2436787411061</c:v>
                </c:pt>
                <c:pt idx="37">
                  <c:v>-5314.5653324706764</c:v>
                </c:pt>
                <c:pt idx="38">
                  <c:v>-5573.1818975149581</c:v>
                </c:pt>
                <c:pt idx="39">
                  <c:v>-5844.7145295044402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28E-9F47-5A7553B2B6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Sheet2!$D$2:$D$41</c:f>
              <c:numCache>
                <c:formatCode>_("$"* #,##0.00_);_("$"* \(#,##0.00\);_("$"* "-"??_);_(@_)</c:formatCode>
                <c:ptCount val="40"/>
                <c:pt idx="0">
                  <c:v>-1677.9749999999999</c:v>
                </c:pt>
                <c:pt idx="1">
                  <c:v>-925.39753168793436</c:v>
                </c:pt>
                <c:pt idx="2">
                  <c:v>-967.6924751491257</c:v>
                </c:pt>
                <c:pt idx="3">
                  <c:v>-1012.0472521314581</c:v>
                </c:pt>
                <c:pt idx="4">
                  <c:v>-1058.5651440859244</c:v>
                </c:pt>
                <c:pt idx="5">
                  <c:v>-1107.3546792378245</c:v>
                </c:pt>
                <c:pt idx="6">
                  <c:v>-1158.5299005848435</c:v>
                </c:pt>
                <c:pt idx="7">
                  <c:v>-1212.2106476121189</c:v>
                </c:pt>
                <c:pt idx="8">
                  <c:v>-1268.5228524267854</c:v>
                </c:pt>
                <c:pt idx="9">
                  <c:v>-1327.5988510504599</c:v>
                </c:pt>
                <c:pt idx="10">
                  <c:v>-2327.9527106459318</c:v>
                </c:pt>
                <c:pt idx="11">
                  <c:v>-1450.6055734941024</c:v>
                </c:pt>
                <c:pt idx="12">
                  <c:v>-1518.8360185789791</c:v>
                </c:pt>
                <c:pt idx="13">
                  <c:v>-1590.4304416824743</c:v>
                </c:pt>
                <c:pt idx="14">
                  <c:v>-1665.5584549369335</c:v>
                </c:pt>
                <c:pt idx="15">
                  <c:v>-1744.3983068318489</c:v>
                </c:pt>
                <c:pt idx="16">
                  <c:v>-1827.1373237222481</c:v>
                </c:pt>
                <c:pt idx="17">
                  <c:v>-1913.9723739398855</c:v>
                </c:pt>
                <c:pt idx="18">
                  <c:v>-2005.1103556647395</c:v>
                </c:pt>
                <c:pt idx="19">
                  <c:v>-2100.7687097735948</c:v>
                </c:pt>
                <c:pt idx="20">
                  <c:v>-2201.1759589447938</c:v>
                </c:pt>
                <c:pt idx="21">
                  <c:v>-2306.5722743637239</c:v>
                </c:pt>
                <c:pt idx="22">
                  <c:v>-2417.2100714424637</c:v>
                </c:pt>
                <c:pt idx="23">
                  <c:v>-2533.3546360393757</c:v>
                </c:pt>
                <c:pt idx="24">
                  <c:v>-2655.2847827405039</c:v>
                </c:pt>
                <c:pt idx="25">
                  <c:v>-2783.2935468446053</c:v>
                </c:pt>
                <c:pt idx="26">
                  <c:v>-2917.6889117777046</c:v>
                </c:pt>
                <c:pt idx="27">
                  <c:v>-3058.7945737514201</c:v>
                </c:pt>
                <c:pt idx="28">
                  <c:v>-3206.9507455722019</c:v>
                </c:pt>
                <c:pt idx="29">
                  <c:v>-3362.5150016062494</c:v>
                </c:pt>
                <c:pt idx="30">
                  <c:v>-4468.2381660075353</c:v>
                </c:pt>
                <c:pt idx="31">
                  <c:v>-3701.3902464242224</c:v>
                </c:pt>
                <c:pt idx="32">
                  <c:v>-3881.5114155121942</c:v>
                </c:pt>
                <c:pt idx="33">
                  <c:v>-4070.6630427036348</c:v>
                </c:pt>
                <c:pt idx="34">
                  <c:v>-4269.3037788038919</c:v>
                </c:pt>
                <c:pt idx="35">
                  <c:v>-4477.9156961216104</c:v>
                </c:pt>
                <c:pt idx="36">
                  <c:v>-4697.0054869755768</c:v>
                </c:pt>
                <c:pt idx="37">
                  <c:v>-4927.1057235672897</c:v>
                </c:pt>
                <c:pt idx="38">
                  <c:v>-5168.7761823612645</c:v>
                </c:pt>
                <c:pt idx="39">
                  <c:v>-5422.605236275921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28E-9F47-5A7553B2B6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Sheet2!$E$2:$E$41</c:f>
              <c:numCache>
                <c:formatCode>_("$"* #,##0.00_);_("$"* \(#,##0.00\);_("$"* "-"??_);_(@_)</c:formatCode>
                <c:ptCount val="40"/>
                <c:pt idx="0">
                  <c:v>0</c:v>
                </c:pt>
                <c:pt idx="1">
                  <c:v>-1346.4683380214651</c:v>
                </c:pt>
                <c:pt idx="2">
                  <c:v>-1359.5899637947014</c:v>
                </c:pt>
                <c:pt idx="3">
                  <c:v>-1373.479164689345</c:v>
                </c:pt>
                <c:pt idx="4">
                  <c:v>-1388.1770341986062</c:v>
                </c:pt>
                <c:pt idx="5">
                  <c:v>-1403.7268561338046</c:v>
                </c:pt>
                <c:pt idx="6">
                  <c:v>-1420.1742211386816</c:v>
                </c:pt>
                <c:pt idx="7">
                  <c:v>-1437.5671493792765</c:v>
                </c:pt>
                <c:pt idx="8">
                  <c:v>-1455.9562197353157</c:v>
                </c:pt>
                <c:pt idx="9">
                  <c:v>-1475.3947058362007</c:v>
                </c:pt>
                <c:pt idx="10">
                  <c:v>-7826.7387193027116</c:v>
                </c:pt>
                <c:pt idx="11">
                  <c:v>-1517.6473605745286</c:v>
                </c:pt>
                <c:pt idx="12">
                  <c:v>-1540.582877723615</c:v>
                </c:pt>
                <c:pt idx="13">
                  <c:v>-1564.8108336745624</c:v>
                </c:pt>
                <c:pt idx="14">
                  <c:v>-1590.4002822750747</c:v>
                </c:pt>
                <c:pt idx="15">
                  <c:v>-1617.4239536830578</c:v>
                </c:pt>
                <c:pt idx="16">
                  <c:v>-285.60534851874405</c:v>
                </c:pt>
                <c:pt idx="17">
                  <c:v>-315.73134755375162</c:v>
                </c:pt>
                <c:pt idx="18">
                  <c:v>-347.53382184296919</c:v>
                </c:pt>
                <c:pt idx="19">
                  <c:v>-381.1022647222552</c:v>
                </c:pt>
                <c:pt idx="20">
                  <c:v>-6747.3309306364017</c:v>
                </c:pt>
                <c:pt idx="21">
                  <c:v>-453.91908768655986</c:v>
                </c:pt>
                <c:pt idx="22">
                  <c:v>-493.37128352185141</c:v>
                </c:pt>
                <c:pt idx="23">
                  <c:v>-534.99762527741905</c:v>
                </c:pt>
                <c:pt idx="24">
                  <c:v>-578.91407429798278</c:v>
                </c:pt>
                <c:pt idx="25">
                  <c:v>-625.24275642471184</c:v>
                </c:pt>
                <c:pt idx="26">
                  <c:v>-674.11228866398346</c:v>
                </c:pt>
                <c:pt idx="27">
                  <c:v>-725.65812309950638</c:v>
                </c:pt>
                <c:pt idx="28">
                  <c:v>-780.02290895440569</c:v>
                </c:pt>
                <c:pt idx="29">
                  <c:v>-837.35687375737461</c:v>
                </c:pt>
                <c:pt idx="30">
                  <c:v>-7228.618224616961</c:v>
                </c:pt>
                <c:pt idx="31">
                  <c:v>-961.57357066064435</c:v>
                </c:pt>
                <c:pt idx="32">
                  <c:v>-1028.7983677506779</c:v>
                </c:pt>
                <c:pt idx="33">
                  <c:v>-1099.6773866468961</c:v>
                </c:pt>
                <c:pt idx="34">
                  <c:v>-1174.4052058479247</c:v>
                </c:pt>
                <c:pt idx="35">
                  <c:v>-1253.1867304066968</c:v>
                </c:pt>
                <c:pt idx="36">
                  <c:v>-1336.2377380839673</c:v>
                </c:pt>
                <c:pt idx="37">
                  <c:v>-1423.7854542748919</c:v>
                </c:pt>
                <c:pt idx="38">
                  <c:v>-1516.0691572187779</c:v>
                </c:pt>
                <c:pt idx="39">
                  <c:v>-1613.3408150811233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C-428E-9F47-5A7553B2B6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Sheet2!$F$2:$F$41</c:f>
              <c:numCache>
                <c:formatCode>_("$"* #,##0.00_);_("$"* \(#,##0.00\);_("$"* "-"??_);_(@_)</c:formatCode>
                <c:ptCount val="40"/>
                <c:pt idx="0">
                  <c:v>0</c:v>
                </c:pt>
                <c:pt idx="1">
                  <c:v>-1376.258231185308</c:v>
                </c:pt>
                <c:pt idx="2">
                  <c:v>-1379.2980214595309</c:v>
                </c:pt>
                <c:pt idx="3">
                  <c:v>-1382.7084444751838</c:v>
                </c:pt>
                <c:pt idx="4">
                  <c:v>-1386.5092130767623</c:v>
                </c:pt>
                <c:pt idx="5">
                  <c:v>-1390.7210701489016</c:v>
                </c:pt>
                <c:pt idx="6">
                  <c:v>-1395.365842907888</c:v>
                </c:pt>
                <c:pt idx="7">
                  <c:v>-1400.4665000603384</c:v>
                </c:pt>
                <c:pt idx="8">
                  <c:v>-1406.0472119801834</c:v>
                </c:pt>
                <c:pt idx="9">
                  <c:v>-1412.1334140630138</c:v>
                </c:pt>
                <c:pt idx="10">
                  <c:v>-12679.551873425202</c:v>
                </c:pt>
                <c:pt idx="11">
                  <c:v>-1425.9307591240165</c:v>
                </c:pt>
                <c:pt idx="12">
                  <c:v>-1433.6997160842027</c:v>
                </c:pt>
                <c:pt idx="13">
                  <c:v>-1442.0899429262065</c:v>
                </c:pt>
                <c:pt idx="14">
                  <c:v>-1451.1342739015249</c:v>
                </c:pt>
                <c:pt idx="15">
                  <c:v>-1460.8672651513909</c:v>
                </c:pt>
                <c:pt idx="16">
                  <c:v>852.45069161859067</c:v>
                </c:pt>
                <c:pt idx="17">
                  <c:v>841.22936499848515</c:v>
                </c:pt>
                <c:pt idx="18">
                  <c:v>829.20444604127943</c:v>
                </c:pt>
                <c:pt idx="19">
                  <c:v>816.33353377254593</c:v>
                </c:pt>
                <c:pt idx="20">
                  <c:v>-10458.227999212091</c:v>
                </c:pt>
                <c:pt idx="21">
                  <c:v>787.87287583458715</c:v>
                </c:pt>
                <c:pt idx="22">
                  <c:v>772.18672020275244</c:v>
                </c:pt>
                <c:pt idx="23">
                  <c:v>755.46149760116418</c:v>
                </c:pt>
                <c:pt idx="24">
                  <c:v>737.64243717458351</c:v>
                </c:pt>
                <c:pt idx="25">
                  <c:v>718.67188930244731</c:v>
                </c:pt>
                <c:pt idx="26">
                  <c:v>698.48917379942759</c:v>
                </c:pt>
                <c:pt idx="27">
                  <c:v>677.03042011861908</c:v>
                </c:pt>
                <c:pt idx="28">
                  <c:v>654.22839913717985</c:v>
                </c:pt>
                <c:pt idx="29">
                  <c:v>630.01234608226059</c:v>
                </c:pt>
                <c:pt idx="30">
                  <c:v>-10656.492225868113</c:v>
                </c:pt>
                <c:pt idx="31">
                  <c:v>577.03627820109966</c:v>
                </c:pt>
                <c:pt idx="32">
                  <c:v>548.11532839806057</c:v>
                </c:pt>
                <c:pt idx="33">
                  <c:v>517.45805260777433</c:v>
                </c:pt>
                <c:pt idx="34">
                  <c:v>484.97300763280919</c:v>
                </c:pt>
                <c:pt idx="35">
                  <c:v>450.5639382904476</c:v>
                </c:pt>
                <c:pt idx="36">
                  <c:v>414.12952383433174</c:v>
                </c:pt>
                <c:pt idx="37">
                  <c:v>375.56311103558869</c:v>
                </c:pt>
                <c:pt idx="38">
                  <c:v>334.75243322365941</c:v>
                </c:pt>
                <c:pt idx="39">
                  <c:v>291.57931455044263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C-428E-9F47-5A7553B2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21344"/>
        <c:axId val="388122000"/>
      </c:lineChart>
      <c:catAx>
        <c:axId val="3881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22000"/>
        <c:crosses val="autoZero"/>
        <c:auto val="1"/>
        <c:lblAlgn val="ctr"/>
        <c:lblOffset val="100"/>
        <c:noMultiLvlLbl val="0"/>
      </c:catAx>
      <c:valAx>
        <c:axId val="388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Cashflows of All Alternatives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 Nothing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Sheet2!$K$2:$K$42</c:f>
              <c:numCache>
                <c:formatCode>_("$"* #,##0.00_);_("$"* \(#,##0.00\);_("$"* "-"??_);_(@_)</c:formatCode>
                <c:ptCount val="41"/>
                <c:pt idx="0">
                  <c:v>0</c:v>
                </c:pt>
                <c:pt idx="1">
                  <c:v>-952.91753909488182</c:v>
                </c:pt>
                <c:pt idx="2">
                  <c:v>-1920.0683600229167</c:v>
                </c:pt>
                <c:pt idx="3">
                  <c:v>-2901.7830064642944</c:v>
                </c:pt>
                <c:pt idx="4">
                  <c:v>-3898.3984479369155</c:v>
                </c:pt>
                <c:pt idx="5">
                  <c:v>-4910.258213242807</c:v>
                </c:pt>
                <c:pt idx="6">
                  <c:v>-5937.7125266163857</c:v>
                </c:pt>
                <c:pt idx="7">
                  <c:v>-6981.1184466298073</c:v>
                </c:pt>
                <c:pt idx="8">
                  <c:v>-8040.8400079117391</c:v>
                </c:pt>
                <c:pt idx="9">
                  <c:v>-9117.2483657370885</c:v>
                </c:pt>
                <c:pt idx="10">
                  <c:v>-10210.721943546339</c:v>
                </c:pt>
                <c:pt idx="11">
                  <c:v>-11321.646583454396</c:v>
                </c:pt>
                <c:pt idx="12">
                  <c:v>-12450.415699809993</c:v>
                </c:pt>
                <c:pt idx="13">
                  <c:v>-13597.430435868044</c:v>
                </c:pt>
                <c:pt idx="14">
                  <c:v>-14763.099823638506</c:v>
                </c:pt>
                <c:pt idx="15">
                  <c:v>-15947.840946976678</c:v>
                </c:pt>
                <c:pt idx="16">
                  <c:v>-17152.079107981153</c:v>
                </c:pt>
                <c:pt idx="17">
                  <c:v>-18376.247996766993</c:v>
                </c:pt>
                <c:pt idx="18">
                  <c:v>-19620.789864683102</c:v>
                </c:pt>
                <c:pt idx="19">
                  <c:v>-20886.155701044077</c:v>
                </c:pt>
                <c:pt idx="20">
                  <c:v>-22172.805413448466</c:v>
                </c:pt>
                <c:pt idx="21">
                  <c:v>-23481.208011756502</c:v>
                </c:pt>
                <c:pt idx="22">
                  <c:v>-24811.841795802226</c:v>
                </c:pt>
                <c:pt idx="23">
                  <c:v>-26165.194546916155</c:v>
                </c:pt>
                <c:pt idx="24">
                  <c:v>-27541.763723336353</c:v>
                </c:pt>
                <c:pt idx="25">
                  <c:v>-28942.056659587321</c:v>
                </c:pt>
                <c:pt idx="26">
                  <c:v>-30366.590769907692</c:v>
                </c:pt>
                <c:pt idx="27">
                  <c:v>-31815.893755809469</c:v>
                </c:pt>
                <c:pt idx="28">
                  <c:v>-33290.503817853089</c:v>
                </c:pt>
                <c:pt idx="29">
                  <c:v>-34790.969871724454</c:v>
                </c:pt>
                <c:pt idx="30">
                  <c:v>-36317.851768701716</c:v>
                </c:pt>
                <c:pt idx="31">
                  <c:v>-37871.720520601484</c:v>
                </c:pt>
                <c:pt idx="32">
                  <c:v>-39453.158529295848</c:v>
                </c:pt>
                <c:pt idx="33">
                  <c:v>-41062.759820893589</c:v>
                </c:pt>
                <c:pt idx="34">
                  <c:v>-42701.130284680723</c:v>
                </c:pt>
                <c:pt idx="35">
                  <c:v>-44368.887916917593</c:v>
                </c:pt>
                <c:pt idx="36">
                  <c:v>-46066.663069591639</c:v>
                </c:pt>
                <c:pt idx="37">
                  <c:v>-47795.098704226897</c:v>
                </c:pt>
                <c:pt idx="38">
                  <c:v>-49554.850650853645</c:v>
                </c:pt>
                <c:pt idx="39">
                  <c:v>-51346.587872243297</c:v>
                </c:pt>
                <c:pt idx="40">
                  <c:v>-53170.992733516119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7-4059-A5B3-B0467F383FCC}"/>
            </c:ext>
          </c:extLst>
        </c:ser>
        <c:ser>
          <c:idx val="1"/>
          <c:order val="1"/>
          <c:tx>
            <c:v>Alternative 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Sheet2!$L$2:$L$42</c:f>
              <c:numCache>
                <c:formatCode>_("$"* #,##0.00_);_("$"* \(#,##0.00\);_("$"* "-"??_);_(@_)</c:formatCode>
                <c:ptCount val="41"/>
                <c:pt idx="0">
                  <c:v>-1629.1019417475727</c:v>
                </c:pt>
                <c:pt idx="1">
                  <c:v>-2501.377869439093</c:v>
                </c:pt>
                <c:pt idx="2">
                  <c:v>-3386.9535668906306</c:v>
                </c:pt>
                <c:pt idx="3">
                  <c:v>-4286.144442288095</c:v>
                </c:pt>
                <c:pt idx="4">
                  <c:v>-5199.2720344195013</c:v>
                </c:pt>
                <c:pt idx="5">
                  <c:v>-6126.6641448461569</c:v>
                </c:pt>
                <c:pt idx="6">
                  <c:v>-7068.6549726491521</c:v>
                </c:pt>
                <c:pt idx="7">
                  <c:v>-8025.5852518078345</c:v>
                </c:pt>
                <c:pt idx="8">
                  <c:v>-8997.8023912679873</c:v>
                </c:pt>
                <c:pt idx="9">
                  <c:v>-9985.6606177585181</c:v>
                </c:pt>
                <c:pt idx="10">
                  <c:v>-11667.423186844902</c:v>
                </c:pt>
                <c:pt idx="11">
                  <c:v>-12684.848750189452</c:v>
                </c:pt>
                <c:pt idx="12">
                  <c:v>-13719.10217227071</c:v>
                </c:pt>
                <c:pt idx="13">
                  <c:v>-14770.564056182966</c:v>
                </c:pt>
                <c:pt idx="14">
                  <c:v>-15839.622649571853</c:v>
                </c:pt>
                <c:pt idx="15">
                  <c:v>-16926.674003221007</c:v>
                </c:pt>
                <c:pt idx="16">
                  <c:v>-18032.122132889766</c:v>
                </c:pt>
                <c:pt idx="17">
                  <c:v>-19156.379184468591</c:v>
                </c:pt>
                <c:pt idx="18">
                  <c:v>-20299.86560252008</c:v>
                </c:pt>
                <c:pt idx="19">
                  <c:v>-21463.01030227503</c:v>
                </c:pt>
                <c:pt idx="20">
                  <c:v>-22646.250845154238</c:v>
                </c:pt>
                <c:pt idx="21">
                  <c:v>-23850.033617888352</c:v>
                </c:pt>
                <c:pt idx="22">
                  <c:v>-25074.814015309399</c:v>
                </c:pt>
                <c:pt idx="23">
                  <c:v>-26321.056626889265</c:v>
                </c:pt>
                <c:pt idx="24">
                  <c:v>-27589.235427101863</c:v>
                </c:pt>
                <c:pt idx="25">
                  <c:v>-28879.833969687319</c:v>
                </c:pt>
                <c:pt idx="26">
                  <c:v>-30193.345585898103</c:v>
                </c:pt>
                <c:pt idx="27">
                  <c:v>-31530.273586808689</c:v>
                </c:pt>
                <c:pt idx="28">
                  <c:v>-32891.131469771964</c:v>
                </c:pt>
                <c:pt idx="29">
                  <c:v>-34276.443129107349</c:v>
                </c:pt>
                <c:pt idx="30">
                  <c:v>-36063.680957028453</c:v>
                </c:pt>
                <c:pt idx="31">
                  <c:v>-37501.067867508325</c:v>
                </c:pt>
                <c:pt idx="32">
                  <c:v>-38964.499548157626</c:v>
                </c:pt>
                <c:pt idx="33">
                  <c:v>-40454.544993510142</c:v>
                </c:pt>
                <c:pt idx="34">
                  <c:v>-41971.784676697651</c:v>
                </c:pt>
                <c:pt idx="35">
                  <c:v>-43516.810788529889</c:v>
                </c:pt>
                <c:pt idx="36">
                  <c:v>-45090.227481418966</c:v>
                </c:pt>
                <c:pt idx="37">
                  <c:v>-46692.651118249109</c:v>
                </c:pt>
                <c:pt idx="38">
                  <c:v>-48324.710526294621</c:v>
                </c:pt>
                <c:pt idx="39">
                  <c:v>-49987.047256290862</c:v>
                </c:pt>
                <c:pt idx="40">
                  <c:v>-51670.687175134502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7-4059-A5B3-B0467F383FCC}"/>
            </c:ext>
          </c:extLst>
        </c:ser>
        <c:ser>
          <c:idx val="2"/>
          <c:order val="2"/>
          <c:tx>
            <c:v>Alternative 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Sheet2!$M$2:$M$42</c:f>
              <c:numCache>
                <c:formatCode>_("$"* #,##0.00_);_("$"* \(#,##0.00\);_("$"* "-"??_);_(@_)</c:formatCode>
                <c:ptCount val="41"/>
                <c:pt idx="0">
                  <c:v>0</c:v>
                </c:pt>
                <c:pt idx="1">
                  <c:v>-1269.1755471971583</c:v>
                </c:pt>
                <c:pt idx="2">
                  <c:v>-2513.392962704143</c:v>
                </c:pt>
                <c:pt idx="3">
                  <c:v>-3733.7114111126857</c:v>
                </c:pt>
                <c:pt idx="4">
                  <c:v>-4931.1651150927592</c:v>
                </c:pt>
                <c:pt idx="5">
                  <c:v>-6106.7642577888619</c:v>
                </c:pt>
                <c:pt idx="6">
                  <c:v>-7261.4958616253816</c:v>
                </c:pt>
                <c:pt idx="7">
                  <c:v>-8396.3246442917425</c:v>
                </c:pt>
                <c:pt idx="8">
                  <c:v>-9512.1938526566628</c:v>
                </c:pt>
                <c:pt idx="9">
                  <c:v>-10610.026075340224</c:v>
                </c:pt>
                <c:pt idx="10">
                  <c:v>-16264.228652543849</c:v>
                </c:pt>
                <c:pt idx="11">
                  <c:v>-17328.675976478793</c:v>
                </c:pt>
                <c:pt idx="12">
                  <c:v>-18377.737951435232</c:v>
                </c:pt>
                <c:pt idx="13">
                  <c:v>-19412.262256315364</c:v>
                </c:pt>
                <c:pt idx="14">
                  <c:v>-20433.079678636732</c:v>
                </c:pt>
                <c:pt idx="15">
                  <c:v>-21441.004813274696</c:v>
                </c:pt>
                <c:pt idx="16">
                  <c:v>-21613.800746149765</c:v>
                </c:pt>
                <c:pt idx="17">
                  <c:v>-21799.259637158262</c:v>
                </c:pt>
                <c:pt idx="18">
                  <c:v>-21997.453319599852</c:v>
                </c:pt>
                <c:pt idx="19">
                  <c:v>-22208.460403442066</c:v>
                </c:pt>
                <c:pt idx="20">
                  <c:v>-25835.483259524488</c:v>
                </c:pt>
                <c:pt idx="21">
                  <c:v>-26072.380227395566</c:v>
                </c:pt>
                <c:pt idx="22">
                  <c:v>-26322.367385668258</c:v>
                </c:pt>
                <c:pt idx="23">
                  <c:v>-26585.550766403743</c:v>
                </c:pt>
                <c:pt idx="24">
                  <c:v>-26862.043352412416</c:v>
                </c:pt>
                <c:pt idx="25">
                  <c:v>-27151.965121935675</c:v>
                </c:pt>
                <c:pt idx="26">
                  <c:v>-27455.443096649258</c:v>
                </c:pt>
                <c:pt idx="27">
                  <c:v>-27772.611393005333</c:v>
                </c:pt>
                <c:pt idx="28">
                  <c:v>-28103.611276931879</c:v>
                </c:pt>
                <c:pt idx="29">
                  <c:v>-28448.591221909548</c:v>
                </c:pt>
                <c:pt idx="30">
                  <c:v>-31339.945589033399</c:v>
                </c:pt>
                <c:pt idx="31">
                  <c:v>-31713.360217568246</c:v>
                </c:pt>
                <c:pt idx="32">
                  <c:v>-32101.244204808296</c:v>
                </c:pt>
                <c:pt idx="33">
                  <c:v>-32503.775503552704</c:v>
                </c:pt>
                <c:pt idx="34">
                  <c:v>-32921.139616010798</c:v>
                </c:pt>
                <c:pt idx="35">
                  <c:v>-33353.529672651886</c:v>
                </c:pt>
                <c:pt idx="36">
                  <c:v>-33801.146514616325</c:v>
                </c:pt>
                <c:pt idx="37">
                  <c:v>-34264.198779720384</c:v>
                </c:pt>
                <c:pt idx="38">
                  <c:v>-34742.90299208893</c:v>
                </c:pt>
                <c:pt idx="39">
                  <c:v>-35237.483655451644</c:v>
                </c:pt>
                <c:pt idx="40">
                  <c:v>-35560.291666690959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7-4059-A5B3-B0467F383FCC}"/>
            </c:ext>
          </c:extLst>
        </c:ser>
        <c:ser>
          <c:idx val="3"/>
          <c:order val="3"/>
          <c:tx>
            <c:v>Alternative C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Sheet2!$N$2:$N$42</c:f>
              <c:numCache>
                <c:formatCode>_("$"* #,##0.00_);_("$"* \(#,##0.00\);_("$"* "-"??_);_(@_)</c:formatCode>
                <c:ptCount val="41"/>
                <c:pt idx="0">
                  <c:v>0</c:v>
                </c:pt>
                <c:pt idx="1">
                  <c:v>-1297.2553786269279</c:v>
                </c:pt>
                <c:pt idx="2">
                  <c:v>-2559.5084587279325</c:v>
                </c:pt>
                <c:pt idx="3">
                  <c:v>-3788.0270026877829</c:v>
                </c:pt>
                <c:pt idx="4">
                  <c:v>-4984.0420295173726</c:v>
                </c:pt>
                <c:pt idx="5">
                  <c:v>-6148.7490312053214</c:v>
                </c:pt>
                <c:pt idx="6">
                  <c:v>-7283.309153292189</c:v>
                </c:pt>
                <c:pt idx="7">
                  <c:v>-8388.8503407871376</c:v>
                </c:pt>
                <c:pt idx="8">
                  <c:v>-9466.4684505138557</c:v>
                </c:pt>
                <c:pt idx="9">
                  <c:v>-10517.228330940481</c:v>
                </c:pt>
                <c:pt idx="10">
                  <c:v>-19677.206382040542</c:v>
                </c:pt>
                <c:pt idx="11">
                  <c:v>-20677.325527038422</c:v>
                </c:pt>
                <c:pt idx="12">
                  <c:v>-21653.605269853797</c:v>
                </c:pt>
                <c:pt idx="13">
                  <c:v>-22606.996608714267</c:v>
                </c:pt>
                <c:pt idx="14">
                  <c:v>-23538.424479694822</c:v>
                </c:pt>
                <c:pt idx="15">
                  <c:v>-24448.788661926075</c:v>
                </c:pt>
                <c:pt idx="16">
                  <c:v>-23933.041974225078</c:v>
                </c:pt>
                <c:pt idx="17">
                  <c:v>-23438.908381456502</c:v>
                </c:pt>
                <c:pt idx="18">
                  <c:v>-22966.024672508836</c:v>
                </c:pt>
                <c:pt idx="19">
                  <c:v>-22514.040587529729</c:v>
                </c:pt>
                <c:pt idx="20">
                  <c:v>-28135.853475798074</c:v>
                </c:pt>
                <c:pt idx="21">
                  <c:v>-27724.668530251205</c:v>
                </c:pt>
                <c:pt idx="22">
                  <c:v>-27333.407890877479</c:v>
                </c:pt>
                <c:pt idx="23">
                  <c:v>-26961.770893701902</c:v>
                </c:pt>
                <c:pt idx="24">
                  <c:v>-26609.468757583578</c:v>
                </c:pt>
                <c:pt idx="25">
                  <c:v>-26276.224391755764</c:v>
                </c:pt>
                <c:pt idx="26">
                  <c:v>-25961.772210140549</c:v>
                </c:pt>
                <c:pt idx="27">
                  <c:v>-25665.857952317492</c:v>
                </c:pt>
                <c:pt idx="28">
                  <c:v>-25388.238511029376</c:v>
                </c:pt>
                <c:pt idx="29">
                  <c:v>-25128.681766111931</c:v>
                </c:pt>
                <c:pt idx="30">
                  <c:v>-29391.141668968099</c:v>
                </c:pt>
                <c:pt idx="31">
                  <c:v>-29167.057112102051</c:v>
                </c:pt>
                <c:pt idx="32">
                  <c:v>-28960.403247058253</c:v>
                </c:pt>
                <c:pt idx="33">
                  <c:v>-28770.990366070419</c:v>
                </c:pt>
                <c:pt idx="34">
                  <c:v>-28598.639010772516</c:v>
                </c:pt>
                <c:pt idx="35">
                  <c:v>-28443.179842501075</c:v>
                </c:pt>
                <c:pt idx="36">
                  <c:v>-28304.453518330076</c:v>
                </c:pt>
                <c:pt idx="37">
                  <c:v>-28182.310572753257</c:v>
                </c:pt>
                <c:pt idx="38">
                  <c:v>-28076.611304931757</c:v>
                </c:pt>
                <c:pt idx="39">
                  <c:v>-27987.225671428183</c:v>
                </c:pt>
                <c:pt idx="40">
                  <c:v>-27643.868634501341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7-4059-A5B3-B0467F38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92680"/>
        <c:axId val="507890056"/>
      </c:lineChart>
      <c:catAx>
        <c:axId val="5078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90056"/>
        <c:crosses val="autoZero"/>
        <c:auto val="1"/>
        <c:lblAlgn val="ctr"/>
        <c:lblOffset val="100"/>
        <c:noMultiLvlLbl val="0"/>
      </c:catAx>
      <c:valAx>
        <c:axId val="5078900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$/kW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Constants!$C$34:$C$39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Constants!$D$34:$D$39</c:f>
              <c:numCache>
                <c:formatCode>_("$"* #,##0.00_);_("$"* \(#,##0.00\);_("$"* "-"??_);_(@_)</c:formatCode>
                <c:ptCount val="6"/>
                <c:pt idx="1">
                  <c:v>4</c:v>
                </c:pt>
                <c:pt idx="2">
                  <c:v>3.25</c:v>
                </c:pt>
                <c:pt idx="3">
                  <c:v>2.85</c:v>
                </c:pt>
                <c:pt idx="4">
                  <c:v>2.75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5-BF46-8BF1-FB5B0485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73359"/>
        <c:axId val="591366015"/>
      </c:scatterChart>
      <c:valAx>
        <c:axId val="59047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6015"/>
        <c:crosses val="autoZero"/>
        <c:crossBetween val="midCat"/>
      </c:valAx>
      <c:valAx>
        <c:axId val="591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7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Constants!$L$34:$L$38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Constants!$O$34:$O$38</c:f>
              <c:numCache>
                <c:formatCode>_("$"* #,##0.00_);_("$"* \(#,##0.00\);_("$"* "-"??_);_(@_)</c:formatCode>
                <c:ptCount val="5"/>
                <c:pt idx="0">
                  <c:v>9500</c:v>
                </c:pt>
                <c:pt idx="1">
                  <c:v>16000</c:v>
                </c:pt>
                <c:pt idx="2">
                  <c:v>21600</c:v>
                </c:pt>
                <c:pt idx="3">
                  <c:v>28000</c:v>
                </c:pt>
                <c:pt idx="4">
                  <c:v>32500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C74D-B3C2-509102A4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19967"/>
        <c:axId val="598955183"/>
      </c:scatterChart>
      <c:valAx>
        <c:axId val="5942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55183"/>
        <c:crosses val="autoZero"/>
        <c:crossBetween val="midCat"/>
      </c:valAx>
      <c:valAx>
        <c:axId val="5989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Historical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Power'!$C$5:$C$17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'Grid Power'!$G$5:$G$17</c:f>
              <c:numCache>
                <c:formatCode>_("$"* #,##0.00_);_("$"* \(#,##0.00\);_("$"* "-"??_);_(@_)</c:formatCode>
                <c:ptCount val="13"/>
                <c:pt idx="0">
                  <c:v>6.25E-2</c:v>
                </c:pt>
                <c:pt idx="1">
                  <c:v>5.7000000000000002E-2</c:v>
                </c:pt>
                <c:pt idx="2">
                  <c:v>5.5E-2</c:v>
                </c:pt>
                <c:pt idx="3">
                  <c:v>6.275E-2</c:v>
                </c:pt>
                <c:pt idx="4">
                  <c:v>7.1250000000000008E-2</c:v>
                </c:pt>
                <c:pt idx="5">
                  <c:v>7.85E-2</c:v>
                </c:pt>
                <c:pt idx="6">
                  <c:v>8.6750000000000008E-2</c:v>
                </c:pt>
                <c:pt idx="7">
                  <c:v>9.0499999999999997E-2</c:v>
                </c:pt>
                <c:pt idx="8">
                  <c:v>9.9250000000000005E-2</c:v>
                </c:pt>
                <c:pt idx="9">
                  <c:v>0.11075000000000002</c:v>
                </c:pt>
                <c:pt idx="10">
                  <c:v>0.1215</c:v>
                </c:pt>
                <c:pt idx="11">
                  <c:v>0.10600000000000001</c:v>
                </c:pt>
                <c:pt idx="12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B-4F6A-BE5A-C7873A1B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21464"/>
        <c:axId val="502622448"/>
      </c:scatterChart>
      <c:valAx>
        <c:axId val="50262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2448"/>
        <c:crosses val="autoZero"/>
        <c:crossBetween val="midCat"/>
      </c:valAx>
      <c:valAx>
        <c:axId val="5026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/>
              <a:t>Projected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'Grid Power'!$C$18:$C$57</c:f>
              <c:numCache>
                <c:formatCode>General</c:formatCode>
                <c:ptCount val="4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</c:numCache>
            </c:numRef>
          </c:xVal>
          <c:yVal>
            <c:numRef>
              <c:f>'Grid Power'!$K$17:$K$57</c:f>
              <c:numCache>
                <c:formatCode>_("$"* #,##0.00_);_("$"* \(#,##0.00\);_("$"* "-"??_);_(@_)</c:formatCode>
                <c:ptCount val="41"/>
                <c:pt idx="0" formatCode="_(&quot;$&quot;* #,##0.000_);_(&quot;$&quot;* \(#,##0.000\);_(&quot;$&quot;* &quot;-&quot;??_);_(@_)">
                  <c:v>0.11652699999999999</c:v>
                </c:pt>
                <c:pt idx="1">
                  <c:v>0.121800644</c:v>
                </c:pt>
                <c:pt idx="2">
                  <c:v>0.12732852071799999</c:v>
                </c:pt>
                <c:pt idx="3">
                  <c:v>0.13312327211384598</c:v>
                </c:pt>
                <c:pt idx="4">
                  <c:v>0.13919817776134313</c:v>
                </c:pt>
                <c:pt idx="5" formatCode="_(&quot;$&quot;* #,##0.0000_);_(&quot;$&quot;* \(#,##0.0000\);_(&quot;$&quot;* &quot;-&quot;??_);_(@_)">
                  <c:v>0.14556718720979583</c:v>
                </c:pt>
                <c:pt idx="6">
                  <c:v>0.15224495399253735</c:v>
                </c:pt>
                <c:pt idx="7">
                  <c:v>0.15924687136636964</c:v>
                </c:pt>
                <c:pt idx="8">
                  <c:v>0.16658910987011202</c:v>
                </c:pt>
                <c:pt idx="9">
                  <c:v>0.17428865679495459</c:v>
                </c:pt>
                <c:pt idx="10">
                  <c:v>0.18236335766403633</c:v>
                </c:pt>
                <c:pt idx="11">
                  <c:v>0.1908319598236371</c:v>
                </c:pt>
                <c:pt idx="12">
                  <c:v>0.19971415825358976</c:v>
                </c:pt>
                <c:pt idx="13">
                  <c:v>0.20903064371000679</c:v>
                </c:pt>
                <c:pt idx="14">
                  <c:v>0.21880315331918171</c:v>
                </c:pt>
                <c:pt idx="15">
                  <c:v>0.22905452374758384</c:v>
                </c:pt>
                <c:pt idx="16">
                  <c:v>0.23980874707923514</c:v>
                </c:pt>
                <c:pt idx="17">
                  <c:v>0.25109102953845219</c:v>
                </c:pt>
                <c:pt idx="18">
                  <c:v>0.26292785320296924</c:v>
                </c:pt>
                <c:pt idx="19">
                  <c:v>0.27534704085985384</c:v>
                </c:pt>
                <c:pt idx="20">
                  <c:v>0.28837782416439728</c:v>
                </c:pt>
                <c:pt idx="21">
                  <c:v>0.30205091527032768</c:v>
                </c:pt>
                <c:pt idx="22">
                  <c:v>0.31639858210827854</c:v>
                </c:pt>
                <c:pt idx="23">
                  <c:v>0.33145472749846644</c:v>
                </c:pt>
                <c:pt idx="24">
                  <c:v>0.34725497229301261</c:v>
                </c:pt>
                <c:pt idx="25">
                  <c:v>0.36383674275330735</c:v>
                </c:pt>
                <c:pt idx="26">
                  <c:v>0.38123936237829092</c:v>
                </c:pt>
                <c:pt idx="27">
                  <c:v>0.399504148410529</c:v>
                </c:pt>
                <c:pt idx="28">
                  <c:v>0.41867451325853211</c:v>
                </c:pt>
                <c:pt idx="29">
                  <c:v>0.43879607108592272</c:v>
                </c:pt>
                <c:pt idx="30">
                  <c:v>0.4599167498308368</c:v>
                </c:pt>
                <c:pt idx="31">
                  <c:v>0.48208690893237127</c:v>
                </c:pt>
                <c:pt idx="32">
                  <c:v>0.50535946305500745</c:v>
                </c:pt>
                <c:pt idx="33">
                  <c:v>0.52979001211677401</c:v>
                </c:pt>
                <c:pt idx="34">
                  <c:v>0.5554369779425018</c:v>
                </c:pt>
                <c:pt idx="35">
                  <c:v>0.58236174787991268</c:v>
                </c:pt>
                <c:pt idx="36">
                  <c:v>0.61062882573350319</c:v>
                </c:pt>
                <c:pt idx="37">
                  <c:v>0.64030599038928437</c:v>
                </c:pt>
                <c:pt idx="38">
                  <c:v>0.67146446252246461</c:v>
                </c:pt>
                <c:pt idx="39">
                  <c:v>0.70417907980015026</c:v>
                </c:pt>
                <c:pt idx="40">
                  <c:v>0.73852848101215673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89-4354-9833-B95D823F9E31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'Grid Power'!$C$18:$C$57</c:f>
              <c:numCache>
                <c:formatCode>General</c:formatCode>
                <c:ptCount val="4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</c:numCache>
            </c:numRef>
          </c:xVal>
          <c:yVal>
            <c:numRef>
              <c:f>'Grid Power'!$K$17:$K$57</c:f>
              <c:numCache>
                <c:formatCode>_("$"* #,##0.00_);_("$"* \(#,##0.00\);_("$"* "-"??_);_(@_)</c:formatCode>
                <c:ptCount val="41"/>
                <c:pt idx="0" formatCode="_(&quot;$&quot;* #,##0.000_);_(&quot;$&quot;* \(#,##0.000\);_(&quot;$&quot;* &quot;-&quot;??_);_(@_)">
                  <c:v>0.11652699999999999</c:v>
                </c:pt>
                <c:pt idx="1">
                  <c:v>0.121800644</c:v>
                </c:pt>
                <c:pt idx="2">
                  <c:v>0.12732852071799999</c:v>
                </c:pt>
                <c:pt idx="3">
                  <c:v>0.13312327211384598</c:v>
                </c:pt>
                <c:pt idx="4">
                  <c:v>0.13919817776134313</c:v>
                </c:pt>
                <c:pt idx="5" formatCode="_(&quot;$&quot;* #,##0.0000_);_(&quot;$&quot;* \(#,##0.0000\);_(&quot;$&quot;* &quot;-&quot;??_);_(@_)">
                  <c:v>0.14556718720979583</c:v>
                </c:pt>
                <c:pt idx="6">
                  <c:v>0.15224495399253735</c:v>
                </c:pt>
                <c:pt idx="7">
                  <c:v>0.15924687136636964</c:v>
                </c:pt>
                <c:pt idx="8">
                  <c:v>0.16658910987011202</c:v>
                </c:pt>
                <c:pt idx="9">
                  <c:v>0.17428865679495459</c:v>
                </c:pt>
                <c:pt idx="10">
                  <c:v>0.18236335766403633</c:v>
                </c:pt>
                <c:pt idx="11">
                  <c:v>0.1908319598236371</c:v>
                </c:pt>
                <c:pt idx="12">
                  <c:v>0.19971415825358976</c:v>
                </c:pt>
                <c:pt idx="13">
                  <c:v>0.20903064371000679</c:v>
                </c:pt>
                <c:pt idx="14">
                  <c:v>0.21880315331918171</c:v>
                </c:pt>
                <c:pt idx="15">
                  <c:v>0.22905452374758384</c:v>
                </c:pt>
                <c:pt idx="16">
                  <c:v>0.23980874707923514</c:v>
                </c:pt>
                <c:pt idx="17">
                  <c:v>0.25109102953845219</c:v>
                </c:pt>
                <c:pt idx="18">
                  <c:v>0.26292785320296924</c:v>
                </c:pt>
                <c:pt idx="19">
                  <c:v>0.27534704085985384</c:v>
                </c:pt>
                <c:pt idx="20">
                  <c:v>0.28837782416439728</c:v>
                </c:pt>
                <c:pt idx="21">
                  <c:v>0.30205091527032768</c:v>
                </c:pt>
                <c:pt idx="22">
                  <c:v>0.31639858210827854</c:v>
                </c:pt>
                <c:pt idx="23">
                  <c:v>0.33145472749846644</c:v>
                </c:pt>
                <c:pt idx="24">
                  <c:v>0.34725497229301261</c:v>
                </c:pt>
                <c:pt idx="25">
                  <c:v>0.36383674275330735</c:v>
                </c:pt>
                <c:pt idx="26">
                  <c:v>0.38123936237829092</c:v>
                </c:pt>
                <c:pt idx="27">
                  <c:v>0.399504148410529</c:v>
                </c:pt>
                <c:pt idx="28">
                  <c:v>0.41867451325853211</c:v>
                </c:pt>
                <c:pt idx="29">
                  <c:v>0.43879607108592272</c:v>
                </c:pt>
                <c:pt idx="30">
                  <c:v>0.4599167498308368</c:v>
                </c:pt>
                <c:pt idx="31">
                  <c:v>0.48208690893237127</c:v>
                </c:pt>
                <c:pt idx="32">
                  <c:v>0.50535946305500745</c:v>
                </c:pt>
                <c:pt idx="33">
                  <c:v>0.52979001211677401</c:v>
                </c:pt>
                <c:pt idx="34">
                  <c:v>0.5554369779425018</c:v>
                </c:pt>
                <c:pt idx="35">
                  <c:v>0.58236174787991268</c:v>
                </c:pt>
                <c:pt idx="36">
                  <c:v>0.61062882573350319</c:v>
                </c:pt>
                <c:pt idx="37">
                  <c:v>0.64030599038928437</c:v>
                </c:pt>
                <c:pt idx="38">
                  <c:v>0.67146446252246461</c:v>
                </c:pt>
                <c:pt idx="39">
                  <c:v>0.70417907980015026</c:v>
                </c:pt>
                <c:pt idx="40">
                  <c:v>0.73852848101215673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9-4354-9833-B95D823F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89400"/>
        <c:axId val="507889728"/>
      </c:scatterChart>
      <c:valAx>
        <c:axId val="50788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07889728"/>
        <c:crosses val="autoZero"/>
        <c:crossBetween val="midCat"/>
      </c:valAx>
      <c:valAx>
        <c:axId val="5078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CA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0_);_(&quot;$&quot;* \(#,##0.0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07889400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/>
              <a:t>Buyback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'Grid Power'!$C$18:$C$57</c:f>
              <c:numCache>
                <c:formatCode>General</c:formatCode>
                <c:ptCount val="4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</c:numCache>
            </c:numRef>
          </c:xVal>
          <c:yVal>
            <c:numRef>
              <c:f>'Grid Power'!$L$18:$L$57</c:f>
              <c:numCache>
                <c:formatCode>_("$"* #,##0.00_);_("$"* \(#,##0.00\);_("$"* "-"??_);_(@_)</c:formatCode>
                <c:ptCount val="40"/>
                <c:pt idx="0">
                  <c:v>0.101999799</c:v>
                </c:pt>
                <c:pt idx="1">
                  <c:v>0.10301979699000001</c:v>
                </c:pt>
                <c:pt idx="2">
                  <c:v>0.10404999495990001</c:v>
                </c:pt>
                <c:pt idx="3">
                  <c:v>0.10509049490949901</c:v>
                </c:pt>
                <c:pt idx="4">
                  <c:v>0.106141399858594</c:v>
                </c:pt>
                <c:pt idx="5">
                  <c:v>0.10720281385717995</c:v>
                </c:pt>
                <c:pt idx="6">
                  <c:v>0.10827484199575174</c:v>
                </c:pt>
                <c:pt idx="7">
                  <c:v>0.10935759041570926</c:v>
                </c:pt>
                <c:pt idx="8">
                  <c:v>0.11045116631986636</c:v>
                </c:pt>
                <c:pt idx="9">
                  <c:v>0.11155567798306502</c:v>
                </c:pt>
                <c:pt idx="10">
                  <c:v>0.11267123476289567</c:v>
                </c:pt>
                <c:pt idx="11">
                  <c:v>0.11379794711052463</c:v>
                </c:pt>
                <c:pt idx="12">
                  <c:v>0.11493592658162988</c:v>
                </c:pt>
                <c:pt idx="13">
                  <c:v>0.11608528584744618</c:v>
                </c:pt>
                <c:pt idx="14">
                  <c:v>0.11724613870592064</c:v>
                </c:pt>
                <c:pt idx="15">
                  <c:v>0.11841860009297984</c:v>
                </c:pt>
                <c:pt idx="16">
                  <c:v>0.11960278609390965</c:v>
                </c:pt>
                <c:pt idx="17">
                  <c:v>0.12079881395484875</c:v>
                </c:pt>
                <c:pt idx="18">
                  <c:v>0.12200680209439724</c:v>
                </c:pt>
                <c:pt idx="19">
                  <c:v>0.12322687011534121</c:v>
                </c:pt>
                <c:pt idx="20">
                  <c:v>0.12445913881649462</c:v>
                </c:pt>
                <c:pt idx="21">
                  <c:v>0.12570373020465955</c:v>
                </c:pt>
                <c:pt idx="22">
                  <c:v>0.12696076750670615</c:v>
                </c:pt>
                <c:pt idx="23">
                  <c:v>0.12823037518177322</c:v>
                </c:pt>
                <c:pt idx="24">
                  <c:v>0.12951267893359095</c:v>
                </c:pt>
                <c:pt idx="25">
                  <c:v>0.13080780572292686</c:v>
                </c:pt>
                <c:pt idx="26">
                  <c:v>0.13211588378015612</c:v>
                </c:pt>
                <c:pt idx="27">
                  <c:v>0.13343704261795769</c:v>
                </c:pt>
                <c:pt idx="28">
                  <c:v>0.13477141304413726</c:v>
                </c:pt>
                <c:pt idx="29">
                  <c:v>0.13611912717457864</c:v>
                </c:pt>
                <c:pt idx="30">
                  <c:v>0.13748031844632441</c:v>
                </c:pt>
                <c:pt idx="31">
                  <c:v>0.13885512163078767</c:v>
                </c:pt>
                <c:pt idx="32">
                  <c:v>0.14024367284709555</c:v>
                </c:pt>
                <c:pt idx="33">
                  <c:v>0.1416461095755665</c:v>
                </c:pt>
                <c:pt idx="34">
                  <c:v>0.14306257067132216</c:v>
                </c:pt>
                <c:pt idx="35">
                  <c:v>0.1444931963780354</c:v>
                </c:pt>
                <c:pt idx="36">
                  <c:v>0.14593812834181574</c:v>
                </c:pt>
                <c:pt idx="37">
                  <c:v>0.1473975096252339</c:v>
                </c:pt>
                <c:pt idx="38">
                  <c:v>0.14887148472148623</c:v>
                </c:pt>
                <c:pt idx="39">
                  <c:v>0.15036019956870109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1-4C24-8849-CA6BCF18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50704"/>
        <c:axId val="218400776"/>
      </c:scatterChart>
      <c:valAx>
        <c:axId val="61685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18400776"/>
        <c:crosses val="autoZero"/>
        <c:crossBetween val="midCat"/>
      </c:valAx>
      <c:valAx>
        <c:axId val="21840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$/kWh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1685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Projected Cost</c:v>
          </c:tx>
          <c:xVal>
            <c:numRef>
              <c:f>'Grid Power'!$C$18:$C$57</c:f>
              <c:numCache>
                <c:formatCode>General</c:formatCode>
                <c:ptCount val="4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</c:numCache>
            </c:numRef>
          </c:xVal>
          <c:yVal>
            <c:numRef>
              <c:f>'Grid Power'!$K$17:$K$57</c:f>
              <c:numCache>
                <c:formatCode>_("$"* #,##0.00_);_("$"* \(#,##0.00\);_("$"* "-"??_);_(@_)</c:formatCode>
                <c:ptCount val="41"/>
                <c:pt idx="0" formatCode="_(&quot;$&quot;* #,##0.000_);_(&quot;$&quot;* \(#,##0.000\);_(&quot;$&quot;* &quot;-&quot;??_);_(@_)">
                  <c:v>0.11652699999999999</c:v>
                </c:pt>
                <c:pt idx="1">
                  <c:v>0.121800644</c:v>
                </c:pt>
                <c:pt idx="2">
                  <c:v>0.12732852071799999</c:v>
                </c:pt>
                <c:pt idx="3">
                  <c:v>0.13312327211384598</c:v>
                </c:pt>
                <c:pt idx="4">
                  <c:v>0.13919817776134313</c:v>
                </c:pt>
                <c:pt idx="5" formatCode="_(&quot;$&quot;* #,##0.0000_);_(&quot;$&quot;* \(#,##0.0000\);_(&quot;$&quot;* &quot;-&quot;??_);_(@_)">
                  <c:v>0.14556718720979583</c:v>
                </c:pt>
                <c:pt idx="6">
                  <c:v>0.15224495399253735</c:v>
                </c:pt>
                <c:pt idx="7">
                  <c:v>0.15924687136636964</c:v>
                </c:pt>
                <c:pt idx="8">
                  <c:v>0.16658910987011202</c:v>
                </c:pt>
                <c:pt idx="9">
                  <c:v>0.17428865679495459</c:v>
                </c:pt>
                <c:pt idx="10">
                  <c:v>0.18236335766403633</c:v>
                </c:pt>
                <c:pt idx="11">
                  <c:v>0.1908319598236371</c:v>
                </c:pt>
                <c:pt idx="12">
                  <c:v>0.19971415825358976</c:v>
                </c:pt>
                <c:pt idx="13">
                  <c:v>0.20903064371000679</c:v>
                </c:pt>
                <c:pt idx="14">
                  <c:v>0.21880315331918171</c:v>
                </c:pt>
                <c:pt idx="15">
                  <c:v>0.22905452374758384</c:v>
                </c:pt>
                <c:pt idx="16">
                  <c:v>0.23980874707923514</c:v>
                </c:pt>
                <c:pt idx="17">
                  <c:v>0.25109102953845219</c:v>
                </c:pt>
                <c:pt idx="18">
                  <c:v>0.26292785320296924</c:v>
                </c:pt>
                <c:pt idx="19">
                  <c:v>0.27534704085985384</c:v>
                </c:pt>
                <c:pt idx="20">
                  <c:v>0.28837782416439728</c:v>
                </c:pt>
                <c:pt idx="21">
                  <c:v>0.30205091527032768</c:v>
                </c:pt>
                <c:pt idx="22">
                  <c:v>0.31639858210827854</c:v>
                </c:pt>
                <c:pt idx="23">
                  <c:v>0.33145472749846644</c:v>
                </c:pt>
                <c:pt idx="24">
                  <c:v>0.34725497229301261</c:v>
                </c:pt>
                <c:pt idx="25">
                  <c:v>0.36383674275330735</c:v>
                </c:pt>
                <c:pt idx="26">
                  <c:v>0.38123936237829092</c:v>
                </c:pt>
                <c:pt idx="27">
                  <c:v>0.399504148410529</c:v>
                </c:pt>
                <c:pt idx="28">
                  <c:v>0.41867451325853211</c:v>
                </c:pt>
                <c:pt idx="29">
                  <c:v>0.43879607108592272</c:v>
                </c:pt>
                <c:pt idx="30">
                  <c:v>0.4599167498308368</c:v>
                </c:pt>
                <c:pt idx="31">
                  <c:v>0.48208690893237127</c:v>
                </c:pt>
                <c:pt idx="32">
                  <c:v>0.50535946305500745</c:v>
                </c:pt>
                <c:pt idx="33">
                  <c:v>0.52979001211677401</c:v>
                </c:pt>
                <c:pt idx="34">
                  <c:v>0.5554369779425018</c:v>
                </c:pt>
                <c:pt idx="35">
                  <c:v>0.58236174787991268</c:v>
                </c:pt>
                <c:pt idx="36">
                  <c:v>0.61062882573350319</c:v>
                </c:pt>
                <c:pt idx="37">
                  <c:v>0.64030599038928437</c:v>
                </c:pt>
                <c:pt idx="38">
                  <c:v>0.67146446252246461</c:v>
                </c:pt>
                <c:pt idx="39">
                  <c:v>0.70417907980015026</c:v>
                </c:pt>
                <c:pt idx="40">
                  <c:v>0.73852848101215673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CA-4C31-8C00-14FDFAF796A0}"/>
            </c:ext>
          </c:extLst>
        </c:ser>
        <c:ser>
          <c:idx val="0"/>
          <c:order val="1"/>
          <c:tx>
            <c:v>Projected Buyback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'Grid Power'!$C$18:$C$57</c:f>
              <c:numCache>
                <c:formatCode>General</c:formatCode>
                <c:ptCount val="40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  <c:pt idx="37">
                  <c:v>2056</c:v>
                </c:pt>
                <c:pt idx="38">
                  <c:v>2057</c:v>
                </c:pt>
                <c:pt idx="39">
                  <c:v>2058</c:v>
                </c:pt>
              </c:numCache>
            </c:numRef>
          </c:xVal>
          <c:yVal>
            <c:numRef>
              <c:f>'Grid Power'!$L$18:$L$57</c:f>
              <c:numCache>
                <c:formatCode>_("$"* #,##0.00_);_("$"* \(#,##0.00\);_("$"* "-"??_);_(@_)</c:formatCode>
                <c:ptCount val="40"/>
                <c:pt idx="0">
                  <c:v>0.101999799</c:v>
                </c:pt>
                <c:pt idx="1">
                  <c:v>0.10301979699000001</c:v>
                </c:pt>
                <c:pt idx="2">
                  <c:v>0.10404999495990001</c:v>
                </c:pt>
                <c:pt idx="3">
                  <c:v>0.10509049490949901</c:v>
                </c:pt>
                <c:pt idx="4">
                  <c:v>0.106141399858594</c:v>
                </c:pt>
                <c:pt idx="5">
                  <c:v>0.10720281385717995</c:v>
                </c:pt>
                <c:pt idx="6">
                  <c:v>0.10827484199575174</c:v>
                </c:pt>
                <c:pt idx="7">
                  <c:v>0.10935759041570926</c:v>
                </c:pt>
                <c:pt idx="8">
                  <c:v>0.11045116631986636</c:v>
                </c:pt>
                <c:pt idx="9">
                  <c:v>0.11155567798306502</c:v>
                </c:pt>
                <c:pt idx="10">
                  <c:v>0.11267123476289567</c:v>
                </c:pt>
                <c:pt idx="11">
                  <c:v>0.11379794711052463</c:v>
                </c:pt>
                <c:pt idx="12">
                  <c:v>0.11493592658162988</c:v>
                </c:pt>
                <c:pt idx="13">
                  <c:v>0.11608528584744618</c:v>
                </c:pt>
                <c:pt idx="14">
                  <c:v>0.11724613870592064</c:v>
                </c:pt>
                <c:pt idx="15">
                  <c:v>0.11841860009297984</c:v>
                </c:pt>
                <c:pt idx="16">
                  <c:v>0.11960278609390965</c:v>
                </c:pt>
                <c:pt idx="17">
                  <c:v>0.12079881395484875</c:v>
                </c:pt>
                <c:pt idx="18">
                  <c:v>0.12200680209439724</c:v>
                </c:pt>
                <c:pt idx="19">
                  <c:v>0.12322687011534121</c:v>
                </c:pt>
                <c:pt idx="20">
                  <c:v>0.12445913881649462</c:v>
                </c:pt>
                <c:pt idx="21">
                  <c:v>0.12570373020465955</c:v>
                </c:pt>
                <c:pt idx="22">
                  <c:v>0.12696076750670615</c:v>
                </c:pt>
                <c:pt idx="23">
                  <c:v>0.12823037518177322</c:v>
                </c:pt>
                <c:pt idx="24">
                  <c:v>0.12951267893359095</c:v>
                </c:pt>
                <c:pt idx="25">
                  <c:v>0.13080780572292686</c:v>
                </c:pt>
                <c:pt idx="26">
                  <c:v>0.13211588378015612</c:v>
                </c:pt>
                <c:pt idx="27">
                  <c:v>0.13343704261795769</c:v>
                </c:pt>
                <c:pt idx="28">
                  <c:v>0.13477141304413726</c:v>
                </c:pt>
                <c:pt idx="29">
                  <c:v>0.13611912717457864</c:v>
                </c:pt>
                <c:pt idx="30">
                  <c:v>0.13748031844632441</c:v>
                </c:pt>
                <c:pt idx="31">
                  <c:v>0.13885512163078767</c:v>
                </c:pt>
                <c:pt idx="32">
                  <c:v>0.14024367284709555</c:v>
                </c:pt>
                <c:pt idx="33">
                  <c:v>0.1416461095755665</c:v>
                </c:pt>
                <c:pt idx="34">
                  <c:v>0.14306257067132216</c:v>
                </c:pt>
                <c:pt idx="35">
                  <c:v>0.1444931963780354</c:v>
                </c:pt>
                <c:pt idx="36">
                  <c:v>0.14593812834181574</c:v>
                </c:pt>
                <c:pt idx="37">
                  <c:v>0.1473975096252339</c:v>
                </c:pt>
                <c:pt idx="38">
                  <c:v>0.14887148472148623</c:v>
                </c:pt>
                <c:pt idx="39">
                  <c:v>0.15036019956870109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CA-4C31-8C00-14FDFAF79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50704"/>
        <c:axId val="218400776"/>
      </c:scatterChart>
      <c:valAx>
        <c:axId val="6168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18400776"/>
        <c:crosses val="autoZero"/>
        <c:crossBetween val="midCat"/>
      </c:valAx>
      <c:valAx>
        <c:axId val="218400776"/>
        <c:scaling>
          <c:orientation val="minMax"/>
        </c:scaling>
        <c:delete val="0"/>
        <c:axPos val="l"/>
        <c:numFmt formatCode="_(&quot;$&quot;* #,##0.000_);_(&quot;$&quot;* \(#,##0.0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16850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Daylight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Weather!$C$8:$C$19</c:f>
              <c:numCache>
                <c:formatCode>0.00</c:formatCode>
                <c:ptCount val="12"/>
                <c:pt idx="0">
                  <c:v>219.15</c:v>
                </c:pt>
                <c:pt idx="1">
                  <c:v>238.72</c:v>
                </c:pt>
                <c:pt idx="2">
                  <c:v>292.2</c:v>
                </c:pt>
                <c:pt idx="3">
                  <c:v>365.25</c:v>
                </c:pt>
                <c:pt idx="4">
                  <c:v>438.3</c:v>
                </c:pt>
                <c:pt idx="5">
                  <c:v>491.78</c:v>
                </c:pt>
                <c:pt idx="6">
                  <c:v>511.35</c:v>
                </c:pt>
                <c:pt idx="7">
                  <c:v>491.78</c:v>
                </c:pt>
                <c:pt idx="8">
                  <c:v>438.3</c:v>
                </c:pt>
                <c:pt idx="9">
                  <c:v>365.25</c:v>
                </c:pt>
                <c:pt idx="10">
                  <c:v>292.2</c:v>
                </c:pt>
                <c:pt idx="11">
                  <c:v>238.72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281-B760-8A9C0324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Corrected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Weather!$I$8:$I$19</c:f>
              <c:numCache>
                <c:formatCode>0.00</c:formatCode>
                <c:ptCount val="12"/>
                <c:pt idx="0">
                  <c:v>35.447012299809892</c:v>
                </c:pt>
                <c:pt idx="1">
                  <c:v>53.625682699197917</c:v>
                </c:pt>
                <c:pt idx="2">
                  <c:v>97.468657672438354</c:v>
                </c:pt>
                <c:pt idx="3">
                  <c:v>167.77747740945185</c:v>
                </c:pt>
                <c:pt idx="4">
                  <c:v>249.07694160903773</c:v>
                </c:pt>
                <c:pt idx="5">
                  <c:v>310.39692150611643</c:v>
                </c:pt>
                <c:pt idx="6">
                  <c:v>322.74892393377695</c:v>
                </c:pt>
                <c:pt idx="7">
                  <c:v>279.46853375426093</c:v>
                </c:pt>
                <c:pt idx="8">
                  <c:v>201.33297289134219</c:v>
                </c:pt>
                <c:pt idx="9">
                  <c:v>121.83582209054795</c:v>
                </c:pt>
                <c:pt idx="10">
                  <c:v>65.639345193974663</c:v>
                </c:pt>
                <c:pt idx="11">
                  <c:v>38.612415132149749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54C-B759-69B595EE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99597903"/>
        <c:axId val="1752471359"/>
      </c:barChart>
      <c:catAx>
        <c:axId val="15995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752471359"/>
        <c:crosses val="autoZero"/>
        <c:auto val="1"/>
        <c:lblAlgn val="ctr"/>
        <c:lblOffset val="100"/>
        <c:noMultiLvlLbl val="0"/>
      </c:catAx>
      <c:valAx>
        <c:axId val="17524713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5995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491519</xdr:colOff>
      <xdr:row>9</xdr:row>
      <xdr:rowOff>97142</xdr:rowOff>
    </xdr:from>
    <xdr:to>
      <xdr:col>26</xdr:col>
      <xdr:colOff>381000</xdr:colOff>
      <xdr:row>23</xdr:row>
      <xdr:rowOff>125838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A1DA0-E5B1-C04E-A62F-A6D320C7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544840</xdr:colOff>
      <xdr:row>39</xdr:row>
      <xdr:rowOff>82600</xdr:rowOff>
    </xdr:from>
    <xdr:to>
      <xdr:col>8</xdr:col>
      <xdr:colOff>523511</xdr:colOff>
      <xdr:row>52</xdr:row>
      <xdr:rowOff>174504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0FAD-2816-3743-9EA2-EA7FDF371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118274</xdr:colOff>
      <xdr:row>38</xdr:row>
      <xdr:rowOff>145614</xdr:rowOff>
    </xdr:from>
    <xdr:to>
      <xdr:col>16</xdr:col>
      <xdr:colOff>334466</xdr:colOff>
      <xdr:row>52</xdr:row>
      <xdr:rowOff>174310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D0180-A298-AC41-9B54-3E8C18C6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566057</xdr:colOff>
      <xdr:row>7</xdr:row>
      <xdr:rowOff>12246</xdr:rowOff>
    </xdr:from>
    <xdr:to>
      <xdr:col>25</xdr:col>
      <xdr:colOff>431346</xdr:colOff>
      <xdr:row>21</xdr:row>
      <xdr:rowOff>88446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235EE-CAFB-4F11-9398-1B5A013E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557893</xdr:colOff>
      <xdr:row>22</xdr:row>
      <xdr:rowOff>20411</xdr:rowOff>
    </xdr:from>
    <xdr:to>
      <xdr:col>25</xdr:col>
      <xdr:colOff>423182</xdr:colOff>
      <xdr:row>36</xdr:row>
      <xdr:rowOff>96611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E32C5-3550-493D-9520-65BB2A7E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540204</xdr:colOff>
      <xdr:row>37</xdr:row>
      <xdr:rowOff>13607</xdr:rowOff>
    </xdr:from>
    <xdr:to>
      <xdr:col>25</xdr:col>
      <xdr:colOff>405493</xdr:colOff>
      <xdr:row>51</xdr:row>
      <xdr:rowOff>89807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763C3-6EE4-4102-B3AD-198DF6C41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514350</xdr:colOff>
      <xdr:row>20</xdr:row>
      <xdr:rowOff>9525</xdr:rowOff>
    </xdr:from>
    <xdr:to>
      <xdr:col>16</xdr:col>
      <xdr:colOff>112939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DC59E-F43A-453C-8AD9-B38164ADD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146462</xdr:colOff>
      <xdr:row>5</xdr:row>
      <xdr:rowOff>4555</xdr:rowOff>
    </xdr:from>
    <xdr:to>
      <xdr:col>17</xdr:col>
      <xdr:colOff>37133</xdr:colOff>
      <xdr:row>18</xdr:row>
      <xdr:rowOff>64191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187B8-7100-4414-B7CC-BDC7E20A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140805</xdr:colOff>
      <xdr:row>18</xdr:row>
      <xdr:rowOff>115955</xdr:rowOff>
    </xdr:from>
    <xdr:to>
      <xdr:col>17</xdr:col>
      <xdr:colOff>31475</xdr:colOff>
      <xdr:row>33</xdr:row>
      <xdr:rowOff>1656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A5D43-F979-4657-AB5B-CA31FF179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458612</xdr:colOff>
      <xdr:row>3</xdr:row>
      <xdr:rowOff>133348</xdr:rowOff>
    </xdr:from>
    <xdr:to>
      <xdr:col>15</xdr:col>
      <xdr:colOff>451556</xdr:colOff>
      <xdr:row>19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713-7F4D-48FC-948A-C891979F0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157366</xdr:colOff>
      <xdr:row>12</xdr:row>
      <xdr:rowOff>168966</xdr:rowOff>
    </xdr:from>
    <xdr:to>
      <xdr:col>22</xdr:col>
      <xdr:colOff>24844</xdr:colOff>
      <xdr:row>27</xdr:row>
      <xdr:rowOff>54666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38212-B1CA-49F4-B0C1-F343F5608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205802</xdr:colOff>
      <xdr:row>7</xdr:row>
      <xdr:rowOff>139700</xdr:rowOff>
    </xdr:from>
    <xdr:to>
      <xdr:col>28</xdr:col>
      <xdr:colOff>6274</xdr:colOff>
      <xdr:row>11</xdr:row>
      <xdr:rowOff>102213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A9FD0-1C97-A740-963A-D50AEF74164F}"/>
            </a:ext>
          </a:extLst>
        </xdr:cNvPr>
        <xdr:cNvSpPr/>
      </xdr:nvSpPr>
      <xdr:spPr>
        <a:xfrm>
          <a:off x="18633502" y="1473200"/>
          <a:ext cx="2327772" cy="7245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Treating the money saved (compared to doing</a:t>
          </a:r>
          <a:r>
            <a:rPr lang="en-U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nothing) as income (relative benefit)</a:t>
          </a:r>
          <a:endParaRPr lang="en-U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0</xdr:col>
      <xdr:colOff>299357</xdr:colOff>
      <xdr:row>18</xdr:row>
      <xdr:rowOff>36343</xdr:rowOff>
    </xdr:from>
    <xdr:to>
      <xdr:col>4</xdr:col>
      <xdr:colOff>230777</xdr:colOff>
      <xdr:row>26</xdr:row>
      <xdr:rowOff>81641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6C6F7-FB2A-AC4D-A159-7FB2989D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398657</xdr:colOff>
      <xdr:row>86</xdr:row>
      <xdr:rowOff>179820</xdr:rowOff>
    </xdr:from>
    <xdr:to>
      <xdr:col>17</xdr:col>
      <xdr:colOff>1182485</xdr:colOff>
      <xdr:row>103</xdr:row>
      <xdr:rowOff>59120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E9533-DE66-6140-AB70-05B099A7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812286</xdr:colOff>
      <xdr:row>100</xdr:row>
      <xdr:rowOff>20510</xdr:rowOff>
    </xdr:from>
    <xdr:to>
      <xdr:col>22</xdr:col>
      <xdr:colOff>423391</xdr:colOff>
      <xdr:row>116</xdr:row>
      <xdr:rowOff>163465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DEFB2-4C93-D84F-B37B-917D32E3C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647819</xdr:colOff>
      <xdr:row>23</xdr:row>
      <xdr:rowOff>167491</xdr:rowOff>
    </xdr:from>
    <xdr:to>
      <xdr:col>5</xdr:col>
      <xdr:colOff>593390</xdr:colOff>
      <xdr:row>38</xdr:row>
      <xdr:rowOff>59755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A0B5A-EB76-4FE8-9D53-73286395C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121057</xdr:colOff>
      <xdr:row>84</xdr:row>
      <xdr:rowOff>197587</xdr:rowOff>
    </xdr:from>
    <xdr:to>
      <xdr:col>18</xdr:col>
      <xdr:colOff>1172858</xdr:colOff>
      <xdr:row>101</xdr:row>
      <xdr:rowOff>133478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9ABD9-C6CC-417F-BCDF-8012CCC35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678286</xdr:colOff>
      <xdr:row>23</xdr:row>
      <xdr:rowOff>193517</xdr:rowOff>
    </xdr:from>
    <xdr:to>
      <xdr:col>6</xdr:col>
      <xdr:colOff>149089</xdr:colOff>
      <xdr:row>36</xdr:row>
      <xdr:rowOff>91109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668BB-6211-41D0-BBB6-A16280A8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3</xdr:row>
      <xdr:rowOff>152400</xdr:rowOff>
    </xdr:from>
    <xdr:to>
      <xdr:col>24</xdr:col>
      <xdr:colOff>352425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8838-6EDF-418B-B7A6-673C800E3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590549</xdr:colOff>
      <xdr:row>5</xdr:row>
      <xdr:rowOff>19049</xdr:rowOff>
    </xdr:from>
    <xdr:to>
      <xdr:col>15</xdr:col>
      <xdr:colOff>466725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62768-430F-4E36-9D7B-C5841FA12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ork.chron.com/pay-scale-solar-energy-technician-19567.html" TargetMode="External"/><Relationship Id="rId2" Type="http://schemas.openxmlformats.org/officeDocument/2006/relationships/hyperlink" Target="https://ca.indeed.com/Solar-Technician-jobs-in-Ontario?vjk=37ca25b9096f3721" TargetMode="External"/><Relationship Id="rId1" Type="http://schemas.openxmlformats.org/officeDocument/2006/relationships/hyperlink" Target="https://ycharts.com/indicators/canada_prime_rate_monthly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kubyenergy.ca/blog/edmonton-solar-power-rebate" TargetMode="External"/><Relationship Id="rId2" Type="http://schemas.openxmlformats.org/officeDocument/2006/relationships/hyperlink" Target="https://kubyenergy.ca/blog/the-cost-of-solar-panels" TargetMode="External"/><Relationship Id="rId1" Type="http://schemas.openxmlformats.org/officeDocument/2006/relationships/hyperlink" Target="https://kubyenergy.ca/blog/alberta-residential-and-commercial-solar-power-rebat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werstream.ca/customers/rates-support-programs/time-of-use-pricing.html" TargetMode="External"/><Relationship Id="rId2" Type="http://schemas.openxmlformats.org/officeDocument/2006/relationships/hyperlink" Target="https://www.oeb.ca/rates-and-your-bill/electricity-rates/historical-electricity-rates" TargetMode="External"/><Relationship Id="rId1" Type="http://schemas.openxmlformats.org/officeDocument/2006/relationships/hyperlink" Target="https://www.aeso.ca/assets/Uploads/TRP-Factsheet-2018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bchydro.com/news/conservation/2016/sell-electricity-at-your-home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sheetPr>
    <tabColor rgb="FF0070C0"/>
  </sheetPr>
  <dimension ref="C2:V63"/>
  <sheetViews>
    <sheetView showGridLines="0" topLeftCell="A43" zoomScale="131" workbookViewId="0">
      <selection activeCell="H60" sqref="H60"/>
    </sheetView>
  </sheetViews>
  <sheetFormatPr defaultColWidth="8.85546875" defaultRowHeight="15" x14ac:dyDescent="0.25"/>
  <cols>
    <col min="2" max="2" width="7.7109375" bestFit="1" customWidth="1"/>
    <col min="3" max="3" width="22.85546875" bestFit="1" customWidth="1"/>
    <col min="4" max="4" width="9.7109375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42578125" bestFit="1" customWidth="1"/>
    <col min="13" max="13" width="15.5703125" customWidth="1"/>
    <col min="14" max="14" width="21.140625" bestFit="1" customWidth="1"/>
    <col min="15" max="15" width="12.140625" bestFit="1" customWidth="1"/>
    <col min="16" max="16" width="11.140625" bestFit="1" customWidth="1"/>
    <col min="17" max="17" width="13.7109375" bestFit="1" customWidth="1"/>
    <col min="18" max="18" width="12.140625" bestFit="1" customWidth="1"/>
    <col min="19" max="19" width="11.85546875" bestFit="1" customWidth="1"/>
  </cols>
  <sheetData>
    <row r="2" spans="3:16" x14ac:dyDescent="0.25">
      <c r="C2" s="1" t="s">
        <v>2</v>
      </c>
    </row>
    <row r="3" spans="3:16" x14ac:dyDescent="0.25">
      <c r="C3" s="1" t="s">
        <v>0</v>
      </c>
      <c r="D3">
        <v>22.7</v>
      </c>
      <c r="E3" t="s">
        <v>1</v>
      </c>
    </row>
    <row r="4" spans="3:16" x14ac:dyDescent="0.25">
      <c r="C4" s="1" t="s">
        <v>27</v>
      </c>
      <c r="D4">
        <v>10</v>
      </c>
      <c r="E4" t="s">
        <v>28</v>
      </c>
      <c r="M4" s="51" t="s">
        <v>10</v>
      </c>
      <c r="N4" s="33"/>
    </row>
    <row r="5" spans="3:16" x14ac:dyDescent="0.25">
      <c r="C5" s="1" t="s">
        <v>121</v>
      </c>
      <c r="D5">
        <v>35</v>
      </c>
      <c r="E5" t="s">
        <v>52</v>
      </c>
      <c r="M5" s="20" t="s">
        <v>11</v>
      </c>
      <c r="N5" s="43" t="s">
        <v>12</v>
      </c>
    </row>
    <row r="6" spans="3:16" x14ac:dyDescent="0.25">
      <c r="M6" s="20">
        <v>90</v>
      </c>
      <c r="N6" s="150">
        <v>0</v>
      </c>
    </row>
    <row r="7" spans="3:16" x14ac:dyDescent="0.25">
      <c r="C7" t="s">
        <v>21</v>
      </c>
      <c r="M7" s="20">
        <v>53</v>
      </c>
      <c r="N7" s="150">
        <v>8.0000000000000002E-3</v>
      </c>
    </row>
    <row r="8" spans="3:16" x14ac:dyDescent="0.25">
      <c r="M8" s="20">
        <v>45</v>
      </c>
      <c r="N8" s="150">
        <v>1.7000000000000001E-2</v>
      </c>
    </row>
    <row r="9" spans="3:16" x14ac:dyDescent="0.25">
      <c r="C9" t="s">
        <v>42</v>
      </c>
      <c r="D9">
        <v>12</v>
      </c>
      <c r="E9" t="s">
        <v>43</v>
      </c>
      <c r="M9" s="20">
        <v>35</v>
      </c>
      <c r="N9" s="150">
        <v>0.03</v>
      </c>
    </row>
    <row r="10" spans="3:16" x14ac:dyDescent="0.25">
      <c r="M10" s="20">
        <v>27</v>
      </c>
      <c r="N10" s="150">
        <v>0.04</v>
      </c>
    </row>
    <row r="11" spans="3:16" x14ac:dyDescent="0.25">
      <c r="C11" t="s">
        <v>153</v>
      </c>
      <c r="D11" s="5">
        <v>5.0000000000000001E-3</v>
      </c>
      <c r="E11" t="s">
        <v>89</v>
      </c>
      <c r="M11" s="20">
        <v>18</v>
      </c>
      <c r="N11" s="150">
        <v>4.7E-2</v>
      </c>
    </row>
    <row r="12" spans="3:16" x14ac:dyDescent="0.25">
      <c r="C12" t="s">
        <v>154</v>
      </c>
      <c r="D12" s="5">
        <v>5.0000000000000001E-4</v>
      </c>
      <c r="E12" t="s">
        <v>89</v>
      </c>
      <c r="F12" t="s">
        <v>44</v>
      </c>
      <c r="M12" s="47">
        <v>14</v>
      </c>
      <c r="N12" s="151">
        <v>4.4999999999999998E-2</v>
      </c>
    </row>
    <row r="13" spans="3:16" x14ac:dyDescent="0.25">
      <c r="D13">
        <v>400</v>
      </c>
      <c r="E13" t="s">
        <v>155</v>
      </c>
    </row>
    <row r="14" spans="3:16" x14ac:dyDescent="0.25">
      <c r="M14" t="s">
        <v>13</v>
      </c>
    </row>
    <row r="15" spans="3:16" x14ac:dyDescent="0.25">
      <c r="M15" t="s">
        <v>14</v>
      </c>
      <c r="N15" t="s">
        <v>12</v>
      </c>
    </row>
    <row r="16" spans="3:16" x14ac:dyDescent="0.25">
      <c r="M16" s="1" t="s">
        <v>15</v>
      </c>
      <c r="N16" s="297">
        <v>0.02</v>
      </c>
      <c r="P16" t="s">
        <v>18</v>
      </c>
    </row>
    <row r="17" spans="3:22" x14ac:dyDescent="0.25">
      <c r="M17" t="s">
        <v>16</v>
      </c>
      <c r="N17" s="3">
        <v>0.05</v>
      </c>
      <c r="P17" t="s">
        <v>19</v>
      </c>
    </row>
    <row r="18" spans="3:22" x14ac:dyDescent="0.25">
      <c r="M18" t="s">
        <v>17</v>
      </c>
      <c r="N18" s="3">
        <v>0.1</v>
      </c>
    </row>
    <row r="19" spans="3:22" x14ac:dyDescent="0.25">
      <c r="C19" t="s">
        <v>219</v>
      </c>
      <c r="D19" s="3">
        <v>0.03</v>
      </c>
      <c r="E19" s="294" t="s">
        <v>220</v>
      </c>
      <c r="M19" t="s">
        <v>20</v>
      </c>
      <c r="N19" s="2">
        <v>10</v>
      </c>
      <c r="O19" t="s">
        <v>9</v>
      </c>
    </row>
    <row r="20" spans="3:22" x14ac:dyDescent="0.25">
      <c r="C20" t="s">
        <v>63</v>
      </c>
      <c r="D20" s="4">
        <v>0.02</v>
      </c>
    </row>
    <row r="21" spans="3:22" x14ac:dyDescent="0.25">
      <c r="C21" t="s">
        <v>187</v>
      </c>
      <c r="D21" s="4">
        <v>0.03</v>
      </c>
    </row>
    <row r="22" spans="3:22" x14ac:dyDescent="0.25">
      <c r="D22" t="s">
        <v>57</v>
      </c>
      <c r="M22" s="51" t="s">
        <v>73</v>
      </c>
      <c r="N22" s="33"/>
      <c r="S22" s="2">
        <v>10000</v>
      </c>
      <c r="T22" t="s">
        <v>79</v>
      </c>
      <c r="U22" s="9">
        <f>(S23-S22)/2</f>
        <v>3000</v>
      </c>
      <c r="V22" t="s">
        <v>81</v>
      </c>
    </row>
    <row r="23" spans="3:22" x14ac:dyDescent="0.25">
      <c r="C23" t="s">
        <v>135</v>
      </c>
      <c r="D23" s="3">
        <v>0.1</v>
      </c>
      <c r="E23" t="s">
        <v>137</v>
      </c>
      <c r="F23" t="s">
        <v>138</v>
      </c>
      <c r="M23" s="20" t="s">
        <v>26</v>
      </c>
      <c r="N23" s="43"/>
      <c r="S23" s="2">
        <v>16000</v>
      </c>
      <c r="T23" t="s">
        <v>80</v>
      </c>
    </row>
    <row r="24" spans="3:22" x14ac:dyDescent="0.25">
      <c r="C24" t="s">
        <v>136</v>
      </c>
      <c r="D24" s="3">
        <v>0.05</v>
      </c>
      <c r="M24" s="20" t="s">
        <v>74</v>
      </c>
      <c r="N24" s="26">
        <v>0.35</v>
      </c>
      <c r="S24" s="2">
        <v>46000</v>
      </c>
      <c r="T24" t="s">
        <v>82</v>
      </c>
    </row>
    <row r="25" spans="3:22" x14ac:dyDescent="0.25">
      <c r="M25" s="20" t="s">
        <v>75</v>
      </c>
      <c r="N25" s="26">
        <v>0.2</v>
      </c>
    </row>
    <row r="26" spans="3:22" x14ac:dyDescent="0.25">
      <c r="C26" t="s">
        <v>140</v>
      </c>
      <c r="D26" s="9">
        <v>24</v>
      </c>
      <c r="E26" t="s">
        <v>141</v>
      </c>
      <c r="F26" s="294" t="s">
        <v>142</v>
      </c>
      <c r="M26" s="20" t="s">
        <v>76</v>
      </c>
      <c r="N26" s="26">
        <v>0.23</v>
      </c>
    </row>
    <row r="27" spans="3:22" x14ac:dyDescent="0.25">
      <c r="F27" s="294" t="s">
        <v>143</v>
      </c>
      <c r="M27" s="20" t="s">
        <v>77</v>
      </c>
      <c r="N27" s="26">
        <v>0.04</v>
      </c>
      <c r="O27" s="3"/>
    </row>
    <row r="28" spans="3:22" x14ac:dyDescent="0.25">
      <c r="M28" s="20" t="s">
        <v>78</v>
      </c>
      <c r="N28" s="26">
        <v>0.02</v>
      </c>
    </row>
    <row r="29" spans="3:22" x14ac:dyDescent="0.25">
      <c r="M29" s="47" t="s">
        <v>218</v>
      </c>
      <c r="N29" s="27">
        <v>0.16</v>
      </c>
    </row>
    <row r="30" spans="3:22" ht="15.75" thickBot="1" x14ac:dyDescent="0.3"/>
    <row r="31" spans="3:22" x14ac:dyDescent="0.25">
      <c r="C31" s="69" t="s">
        <v>202</v>
      </c>
      <c r="D31" s="70" t="s">
        <v>203</v>
      </c>
      <c r="E31" s="70" t="s">
        <v>235</v>
      </c>
      <c r="F31" s="70"/>
      <c r="G31" s="70"/>
      <c r="H31" s="70"/>
      <c r="I31" s="71"/>
      <c r="L31" s="69" t="s">
        <v>207</v>
      </c>
      <c r="M31" s="70"/>
      <c r="N31" s="70"/>
      <c r="O31" s="70"/>
      <c r="P31" s="70"/>
      <c r="Q31" s="70"/>
      <c r="R31" s="70"/>
      <c r="S31" s="71"/>
    </row>
    <row r="32" spans="3:22" x14ac:dyDescent="0.25">
      <c r="C32" s="72" t="s">
        <v>204</v>
      </c>
      <c r="D32" s="65" t="s">
        <v>6</v>
      </c>
      <c r="E32" s="65" t="s">
        <v>206</v>
      </c>
      <c r="F32" s="52"/>
      <c r="G32" s="52"/>
      <c r="H32" s="52"/>
      <c r="I32" s="73"/>
      <c r="L32" s="72" t="s">
        <v>204</v>
      </c>
      <c r="M32" s="65" t="s">
        <v>6</v>
      </c>
      <c r="N32" s="65" t="s">
        <v>250</v>
      </c>
      <c r="O32" s="52" t="s">
        <v>6</v>
      </c>
      <c r="P32" s="52"/>
      <c r="Q32" s="52" t="s">
        <v>208</v>
      </c>
      <c r="R32" s="52">
        <v>5</v>
      </c>
      <c r="S32" s="73" t="s">
        <v>209</v>
      </c>
    </row>
    <row r="33" spans="3:19" x14ac:dyDescent="0.25">
      <c r="C33" s="72" t="s">
        <v>117</v>
      </c>
      <c r="D33" s="65" t="s">
        <v>205</v>
      </c>
      <c r="E33" s="65" t="s">
        <v>205</v>
      </c>
      <c r="F33" s="52"/>
      <c r="G33" s="52"/>
      <c r="H33" s="52"/>
      <c r="I33" s="73"/>
      <c r="L33" s="72" t="s">
        <v>117</v>
      </c>
      <c r="M33" s="65" t="s">
        <v>205</v>
      </c>
      <c r="N33" s="65" t="s">
        <v>205</v>
      </c>
      <c r="O33" s="52" t="s">
        <v>59</v>
      </c>
      <c r="P33" s="52"/>
      <c r="Q33" s="78" t="s">
        <v>212</v>
      </c>
      <c r="R33" s="21">
        <f>4120</f>
        <v>4120</v>
      </c>
      <c r="S33" s="73"/>
    </row>
    <row r="34" spans="3:19" x14ac:dyDescent="0.25">
      <c r="C34" s="74">
        <v>1</v>
      </c>
      <c r="D34" s="52"/>
      <c r="E34" s="45">
        <f>1.5/(C34+0.5)*4+1.8</f>
        <v>5.8</v>
      </c>
      <c r="F34" s="52"/>
      <c r="G34" s="52"/>
      <c r="H34" s="52"/>
      <c r="I34" s="73"/>
      <c r="L34" s="74">
        <v>2</v>
      </c>
      <c r="M34" s="21">
        <v>4</v>
      </c>
      <c r="N34" s="21">
        <v>0.75</v>
      </c>
      <c r="O34" s="67">
        <f>(M34+N34)*L34*1000</f>
        <v>9500</v>
      </c>
      <c r="P34" s="52"/>
      <c r="Q34" s="78" t="s">
        <v>211</v>
      </c>
      <c r="R34" s="21">
        <v>2900</v>
      </c>
      <c r="S34" s="73" t="s">
        <v>213</v>
      </c>
    </row>
    <row r="35" spans="3:19" x14ac:dyDescent="0.25">
      <c r="C35" s="74">
        <v>2</v>
      </c>
      <c r="D35" s="21">
        <v>4</v>
      </c>
      <c r="E35" s="45">
        <f t="shared" ref="E35:E39" si="0">1.5/(C35+0.5)*4+1.8</f>
        <v>4.2</v>
      </c>
      <c r="F35" s="52"/>
      <c r="G35" s="52"/>
      <c r="H35" s="52"/>
      <c r="I35" s="73"/>
      <c r="L35" s="74">
        <v>4</v>
      </c>
      <c r="M35" s="21">
        <v>3.25</v>
      </c>
      <c r="N35" s="21">
        <v>0.75</v>
      </c>
      <c r="O35" s="67">
        <f t="shared" ref="O35:O38" si="1">(M35+N35)*L35*1000</f>
        <v>16000</v>
      </c>
      <c r="P35" s="52"/>
      <c r="Q35" s="78"/>
      <c r="R35" s="67">
        <f>R34*R32</f>
        <v>14500</v>
      </c>
      <c r="S35" s="73"/>
    </row>
    <row r="36" spans="3:19" x14ac:dyDescent="0.25">
      <c r="C36" s="74">
        <v>4</v>
      </c>
      <c r="D36" s="21">
        <v>3.25</v>
      </c>
      <c r="E36" s="45">
        <f t="shared" si="0"/>
        <v>3.1333333333333333</v>
      </c>
      <c r="F36" s="52"/>
      <c r="G36" s="52"/>
      <c r="H36" s="52"/>
      <c r="I36" s="73"/>
      <c r="L36" s="74">
        <v>6</v>
      </c>
      <c r="M36" s="21">
        <v>2.85</v>
      </c>
      <c r="N36" s="21">
        <v>0.75</v>
      </c>
      <c r="O36" s="67">
        <f t="shared" si="1"/>
        <v>21600</v>
      </c>
      <c r="P36" s="52"/>
      <c r="Q36" s="78" t="s">
        <v>87</v>
      </c>
      <c r="R36" s="67">
        <f>R35+R33</f>
        <v>18620</v>
      </c>
      <c r="S36" s="73"/>
    </row>
    <row r="37" spans="3:19" x14ac:dyDescent="0.25">
      <c r="C37" s="74">
        <v>6</v>
      </c>
      <c r="D37" s="21">
        <v>2.85</v>
      </c>
      <c r="E37" s="45">
        <f t="shared" si="0"/>
        <v>2.7230769230769232</v>
      </c>
      <c r="F37" s="52"/>
      <c r="G37" s="52"/>
      <c r="H37" s="52"/>
      <c r="I37" s="73"/>
      <c r="L37" s="74">
        <v>8</v>
      </c>
      <c r="M37" s="21">
        <v>2.75</v>
      </c>
      <c r="N37" s="21">
        <v>0.75</v>
      </c>
      <c r="O37" s="67">
        <f t="shared" si="1"/>
        <v>28000</v>
      </c>
      <c r="P37" s="52"/>
      <c r="Q37" s="68"/>
      <c r="R37" s="52"/>
      <c r="S37" s="73"/>
    </row>
    <row r="38" spans="3:19" x14ac:dyDescent="0.25">
      <c r="C38" s="74">
        <v>8</v>
      </c>
      <c r="D38" s="21">
        <v>2.75</v>
      </c>
      <c r="E38" s="45">
        <f t="shared" si="0"/>
        <v>2.5058823529411764</v>
      </c>
      <c r="F38" s="52"/>
      <c r="G38" s="52"/>
      <c r="H38" s="52"/>
      <c r="I38" s="73"/>
      <c r="L38" s="74">
        <v>10</v>
      </c>
      <c r="M38" s="21">
        <v>2.5</v>
      </c>
      <c r="N38" s="21">
        <v>0.75</v>
      </c>
      <c r="O38" s="67">
        <f t="shared" si="1"/>
        <v>32500</v>
      </c>
      <c r="P38" s="52"/>
      <c r="Q38" s="52"/>
      <c r="R38" s="52"/>
      <c r="S38" s="73"/>
    </row>
    <row r="39" spans="3:19" x14ac:dyDescent="0.25">
      <c r="C39" s="74">
        <v>10</v>
      </c>
      <c r="D39" s="21">
        <v>2.5</v>
      </c>
      <c r="E39" s="45">
        <f t="shared" si="0"/>
        <v>2.3714285714285714</v>
      </c>
      <c r="F39" s="52"/>
      <c r="G39" s="52"/>
      <c r="H39" s="52"/>
      <c r="I39" s="73"/>
      <c r="L39" s="74"/>
      <c r="M39" s="52"/>
      <c r="N39" s="52"/>
      <c r="O39" s="52"/>
      <c r="P39" s="52"/>
      <c r="Q39" s="52"/>
      <c r="R39" s="52"/>
      <c r="S39" s="73"/>
    </row>
    <row r="40" spans="3:19" x14ac:dyDescent="0.25">
      <c r="C40" s="74"/>
      <c r="D40" s="52"/>
      <c r="E40" s="45"/>
      <c r="F40" s="52"/>
      <c r="G40" s="52"/>
      <c r="H40" s="52"/>
      <c r="I40" s="73"/>
      <c r="L40" s="74"/>
      <c r="M40" s="52"/>
      <c r="N40" s="52"/>
      <c r="O40" s="52"/>
      <c r="P40" s="52"/>
      <c r="Q40" s="52"/>
      <c r="R40" s="52"/>
      <c r="S40" s="73"/>
    </row>
    <row r="41" spans="3:19" x14ac:dyDescent="0.25">
      <c r="C41" s="74"/>
      <c r="D41" s="52"/>
      <c r="E41" s="52"/>
      <c r="F41" s="52"/>
      <c r="G41" s="52"/>
      <c r="H41" s="52"/>
      <c r="I41" s="73"/>
      <c r="L41" s="74"/>
      <c r="M41" s="52"/>
      <c r="N41" s="52"/>
      <c r="O41" s="52"/>
      <c r="P41" s="52"/>
      <c r="Q41" s="52"/>
      <c r="R41" s="52"/>
      <c r="S41" s="73"/>
    </row>
    <row r="42" spans="3:19" x14ac:dyDescent="0.25">
      <c r="C42" s="74"/>
      <c r="D42" s="52"/>
      <c r="E42" s="52"/>
      <c r="F42" s="52"/>
      <c r="G42" s="52"/>
      <c r="H42" s="52"/>
      <c r="I42" s="73"/>
      <c r="L42" s="74"/>
      <c r="M42" s="52"/>
      <c r="N42" s="52"/>
      <c r="O42" s="52"/>
      <c r="P42" s="52"/>
      <c r="Q42" s="52"/>
      <c r="R42" s="52"/>
      <c r="S42" s="73"/>
    </row>
    <row r="43" spans="3:19" x14ac:dyDescent="0.25">
      <c r="C43" s="74"/>
      <c r="D43" s="52"/>
      <c r="E43" s="52"/>
      <c r="F43" s="52"/>
      <c r="G43" s="52"/>
      <c r="H43" s="52"/>
      <c r="I43" s="73"/>
      <c r="L43" s="74"/>
      <c r="M43" s="52"/>
      <c r="N43" s="52"/>
      <c r="O43" s="52"/>
      <c r="P43" s="52"/>
      <c r="Q43" s="52"/>
      <c r="R43" s="52"/>
      <c r="S43" s="73"/>
    </row>
    <row r="44" spans="3:19" x14ac:dyDescent="0.25">
      <c r="C44" s="74"/>
      <c r="D44" s="52"/>
      <c r="E44" s="52"/>
      <c r="F44" s="52"/>
      <c r="G44" s="52"/>
      <c r="H44" s="52"/>
      <c r="I44" s="73"/>
      <c r="L44" s="74"/>
      <c r="M44" s="52"/>
      <c r="N44" s="52"/>
      <c r="O44" s="52"/>
      <c r="P44" s="52"/>
      <c r="Q44" s="52"/>
      <c r="R44" s="52"/>
      <c r="S44" s="73"/>
    </row>
    <row r="45" spans="3:19" x14ac:dyDescent="0.25">
      <c r="C45" s="74"/>
      <c r="D45" s="52"/>
      <c r="E45" s="52"/>
      <c r="F45" s="52"/>
      <c r="G45" s="52"/>
      <c r="H45" s="52"/>
      <c r="I45" s="73"/>
      <c r="L45" s="74"/>
      <c r="M45" s="52"/>
      <c r="N45" s="52"/>
      <c r="O45" s="52"/>
      <c r="P45" s="52"/>
      <c r="Q45" s="52"/>
      <c r="R45" s="52"/>
      <c r="S45" s="73"/>
    </row>
    <row r="46" spans="3:19" x14ac:dyDescent="0.25">
      <c r="C46" s="74"/>
      <c r="D46" s="52"/>
      <c r="E46" s="52"/>
      <c r="F46" s="52"/>
      <c r="G46" s="52"/>
      <c r="H46" s="52"/>
      <c r="I46" s="73"/>
      <c r="L46" s="74"/>
      <c r="M46" s="52"/>
      <c r="N46" s="52"/>
      <c r="O46" s="52"/>
      <c r="P46" s="52"/>
      <c r="Q46" s="52"/>
      <c r="R46" s="52"/>
      <c r="S46" s="73"/>
    </row>
    <row r="47" spans="3:19" x14ac:dyDescent="0.25">
      <c r="C47" s="74"/>
      <c r="D47" s="52"/>
      <c r="E47" s="52"/>
      <c r="F47" s="52"/>
      <c r="G47" s="52"/>
      <c r="H47" s="52"/>
      <c r="I47" s="73"/>
      <c r="L47" s="74"/>
      <c r="M47" s="52"/>
      <c r="N47" s="52"/>
      <c r="O47" s="52"/>
      <c r="P47" s="52"/>
      <c r="Q47" s="52"/>
      <c r="R47" s="52"/>
      <c r="S47" s="73"/>
    </row>
    <row r="48" spans="3:19" x14ac:dyDescent="0.25">
      <c r="C48" s="74"/>
      <c r="D48" s="52"/>
      <c r="E48" s="52"/>
      <c r="F48" s="52"/>
      <c r="G48" s="52"/>
      <c r="H48" s="52"/>
      <c r="I48" s="73"/>
      <c r="L48" s="74"/>
      <c r="M48" s="52"/>
      <c r="N48" s="52"/>
      <c r="O48" s="52"/>
      <c r="P48" s="52"/>
      <c r="Q48" s="52"/>
      <c r="R48" s="52"/>
      <c r="S48" s="73"/>
    </row>
    <row r="49" spans="3:19" x14ac:dyDescent="0.25">
      <c r="C49" s="74"/>
      <c r="D49" s="52"/>
      <c r="E49" s="52"/>
      <c r="F49" s="52"/>
      <c r="G49" s="52"/>
      <c r="H49" s="52"/>
      <c r="I49" s="73"/>
      <c r="L49" s="74"/>
      <c r="M49" s="52"/>
      <c r="N49" s="52"/>
      <c r="O49" s="52"/>
      <c r="P49" s="52"/>
      <c r="Q49" s="52"/>
      <c r="R49" s="52"/>
      <c r="S49" s="73"/>
    </row>
    <row r="50" spans="3:19" x14ac:dyDescent="0.25">
      <c r="C50" s="74"/>
      <c r="D50" s="52"/>
      <c r="E50" s="52"/>
      <c r="F50" s="52"/>
      <c r="G50" s="52"/>
      <c r="H50" s="52"/>
      <c r="I50" s="73"/>
      <c r="L50" s="74"/>
      <c r="M50" s="52"/>
      <c r="N50" s="52"/>
      <c r="O50" s="52"/>
      <c r="P50" s="52"/>
      <c r="Q50" s="52"/>
      <c r="R50" s="52"/>
      <c r="S50" s="73"/>
    </row>
    <row r="51" spans="3:19" x14ac:dyDescent="0.25">
      <c r="C51" s="74"/>
      <c r="D51" s="52"/>
      <c r="E51" s="52"/>
      <c r="F51" s="52"/>
      <c r="G51" s="52"/>
      <c r="H51" s="52"/>
      <c r="I51" s="73"/>
      <c r="L51" s="74"/>
      <c r="M51" s="52"/>
      <c r="N51" s="52"/>
      <c r="O51" s="52"/>
      <c r="P51" s="52"/>
      <c r="Q51" s="52"/>
      <c r="R51" s="52"/>
      <c r="S51" s="73"/>
    </row>
    <row r="52" spans="3:19" x14ac:dyDescent="0.25">
      <c r="C52" s="74"/>
      <c r="D52" s="52"/>
      <c r="E52" s="52"/>
      <c r="F52" s="52"/>
      <c r="G52" s="52"/>
      <c r="H52" s="52"/>
      <c r="I52" s="73"/>
      <c r="L52" s="74"/>
      <c r="M52" s="52"/>
      <c r="N52" s="52"/>
      <c r="O52" s="52"/>
      <c r="P52" s="52"/>
      <c r="Q52" s="52"/>
      <c r="R52" s="52"/>
      <c r="S52" s="73"/>
    </row>
    <row r="53" spans="3:19" x14ac:dyDescent="0.25">
      <c r="C53" s="74"/>
      <c r="D53" s="52"/>
      <c r="E53" s="52"/>
      <c r="F53" s="52"/>
      <c r="G53" s="52"/>
      <c r="H53" s="52"/>
      <c r="I53" s="73"/>
      <c r="L53" s="74"/>
      <c r="M53" s="52"/>
      <c r="N53" s="52"/>
      <c r="O53" s="52"/>
      <c r="P53" s="52"/>
      <c r="Q53" s="52"/>
      <c r="R53" s="52"/>
      <c r="S53" s="73"/>
    </row>
    <row r="54" spans="3:19" ht="15.75" thickBot="1" x14ac:dyDescent="0.3">
      <c r="C54" s="75"/>
      <c r="D54" s="76"/>
      <c r="E54" s="76"/>
      <c r="F54" s="76"/>
      <c r="G54" s="76"/>
      <c r="H54" s="76"/>
      <c r="I54" s="77"/>
      <c r="L54" s="75"/>
      <c r="M54" s="76"/>
      <c r="N54" s="76"/>
      <c r="O54" s="76"/>
      <c r="P54" s="76"/>
      <c r="Q54" s="76"/>
      <c r="R54" s="76"/>
      <c r="S54" s="77"/>
    </row>
    <row r="56" spans="3:19" x14ac:dyDescent="0.25">
      <c r="C56" s="250" t="s">
        <v>221</v>
      </c>
      <c r="D56" s="251"/>
      <c r="E56" s="79" t="s">
        <v>246</v>
      </c>
    </row>
    <row r="57" spans="3:19" x14ac:dyDescent="0.25">
      <c r="C57" s="20">
        <v>5</v>
      </c>
      <c r="D57" s="43" t="s">
        <v>155</v>
      </c>
      <c r="E57" s="209" t="s">
        <v>247</v>
      </c>
    </row>
    <row r="58" spans="3:19" x14ac:dyDescent="0.25">
      <c r="C58" s="20">
        <v>10</v>
      </c>
      <c r="D58" s="43" t="s">
        <v>155</v>
      </c>
      <c r="E58" s="209" t="s">
        <v>247</v>
      </c>
    </row>
    <row r="59" spans="3:19" x14ac:dyDescent="0.25">
      <c r="C59" s="47">
        <v>15</v>
      </c>
      <c r="D59" s="35" t="s">
        <v>155</v>
      </c>
      <c r="E59" s="210" t="s">
        <v>247</v>
      </c>
    </row>
    <row r="61" spans="3:19" x14ac:dyDescent="0.25">
      <c r="C61" s="247" t="s">
        <v>162</v>
      </c>
      <c r="D61" s="248"/>
      <c r="E61" s="249"/>
    </row>
    <row r="62" spans="3:19" x14ac:dyDescent="0.25">
      <c r="C62" s="252" t="s">
        <v>242</v>
      </c>
      <c r="D62" s="21">
        <v>100</v>
      </c>
      <c r="E62" s="43" t="s">
        <v>243</v>
      </c>
    </row>
    <row r="63" spans="3:19" x14ac:dyDescent="0.25">
      <c r="C63" s="253"/>
      <c r="D63" s="63">
        <f>D62/10/1000</f>
        <v>0.01</v>
      </c>
      <c r="E63" s="35" t="s">
        <v>244</v>
      </c>
    </row>
  </sheetData>
  <mergeCells count="3">
    <mergeCell ref="C61:E61"/>
    <mergeCell ref="C56:D56"/>
    <mergeCell ref="C62:C63"/>
  </mergeCells>
  <hyperlinks>
    <hyperlink ref="E19" r:id="rId1" xr:uid="{460704CB-00AB-47DE-9D41-12FAB302C0CD}"/>
    <hyperlink ref="F26" r:id="rId2" xr:uid="{1BEEFADA-35A8-4A5E-9D01-9ACDD2F27005}"/>
    <hyperlink ref="F27" r:id="rId3" xr:uid="{9F602EC0-8DA3-4573-AA83-A854D012C12B}"/>
  </hyperlinks>
  <pageMargins left="0.7" right="0.7" top="0.75" bottom="0.75" header="0.3" footer="0.3"/>
  <pageSetup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F901-A655-4790-AC00-70C7FAA99275}">
  <sheetPr>
    <tabColor rgb="FF00B050"/>
  </sheetPr>
  <dimension ref="B2:AI130"/>
  <sheetViews>
    <sheetView tabSelected="1" topLeftCell="C28" zoomScale="70" zoomScaleNormal="70" zoomScaleSheetLayoutView="50" workbookViewId="0">
      <selection activeCell="C21" sqref="C21"/>
    </sheetView>
  </sheetViews>
  <sheetFormatPr defaultColWidth="10.85546875" defaultRowHeight="16.5" x14ac:dyDescent="0.3"/>
  <cols>
    <col min="1" max="1" width="10.85546875" style="162"/>
    <col min="2" max="2" width="17.28515625" style="162" customWidth="1"/>
    <col min="3" max="3" width="13.85546875" style="162" bestFit="1" customWidth="1"/>
    <col min="4" max="4" width="11" style="162" bestFit="1" customWidth="1"/>
    <col min="5" max="5" width="7" style="162" bestFit="1" customWidth="1"/>
    <col min="6" max="6" width="9.7109375" style="162" bestFit="1" customWidth="1"/>
    <col min="7" max="7" width="5.28515625" style="162" customWidth="1"/>
    <col min="8" max="9" width="11" style="162" bestFit="1" customWidth="1"/>
    <col min="10" max="10" width="6.85546875" style="162" bestFit="1" customWidth="1"/>
    <col min="11" max="11" width="11.85546875" style="162" bestFit="1" customWidth="1"/>
    <col min="12" max="12" width="12.5703125" style="162" bestFit="1" customWidth="1"/>
    <col min="13" max="13" width="14.28515625" style="162" hidden="1" customWidth="1"/>
    <col min="14" max="14" width="13.85546875" style="162" hidden="1" customWidth="1"/>
    <col min="15" max="15" width="16.85546875" style="162" hidden="1" customWidth="1"/>
    <col min="16" max="16" width="12.85546875" style="162" hidden="1" customWidth="1"/>
    <col min="17" max="17" width="13.140625" style="162" hidden="1" customWidth="1"/>
    <col min="18" max="18" width="14.5703125" style="162" hidden="1" customWidth="1"/>
    <col min="19" max="19" width="20" style="162" hidden="1" customWidth="1"/>
    <col min="20" max="20" width="14" style="162" hidden="1" customWidth="1"/>
    <col min="21" max="21" width="12.5703125" style="162" hidden="1" customWidth="1"/>
    <col min="22" max="22" width="14" style="162" hidden="1" customWidth="1"/>
    <col min="23" max="23" width="12.5703125" style="162" hidden="1" customWidth="1"/>
    <col min="24" max="24" width="10.7109375" style="162" hidden="1" customWidth="1"/>
    <col min="25" max="25" width="12.5703125" style="162" hidden="1" customWidth="1"/>
    <col min="26" max="26" width="12.85546875" style="162" hidden="1" customWidth="1"/>
    <col min="27" max="27" width="11" style="162" hidden="1" customWidth="1"/>
    <col min="28" max="28" width="12.5703125" style="162" hidden="1" customWidth="1"/>
    <col min="29" max="29" width="19.7109375" style="162" customWidth="1"/>
    <col min="30" max="30" width="10.7109375" style="162" bestFit="1" customWidth="1"/>
    <col min="31" max="32" width="14.5703125" style="162" bestFit="1" customWidth="1"/>
    <col min="33" max="33" width="4.42578125" style="162" customWidth="1"/>
    <col min="34" max="34" width="22.85546875" style="162" bestFit="1" customWidth="1"/>
    <col min="35" max="35" width="14" style="162" bestFit="1" customWidth="1"/>
    <col min="36" max="16384" width="10.85546875" style="162"/>
  </cols>
  <sheetData>
    <row r="2" spans="2:35" ht="129" x14ac:dyDescent="2.2000000000000002">
      <c r="B2" s="161" t="s">
        <v>248</v>
      </c>
    </row>
    <row r="3" spans="2:35" x14ac:dyDescent="0.3">
      <c r="B3" s="290" t="s">
        <v>149</v>
      </c>
      <c r="C3" s="290"/>
      <c r="D3" s="290"/>
      <c r="E3" s="290"/>
      <c r="F3" s="290"/>
      <c r="H3" s="290" t="s">
        <v>199</v>
      </c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</row>
    <row r="4" spans="2:35" x14ac:dyDescent="0.3">
      <c r="B4" s="163" t="s">
        <v>94</v>
      </c>
      <c r="C4" s="164" t="s">
        <v>150</v>
      </c>
      <c r="D4" s="165" t="s">
        <v>215</v>
      </c>
      <c r="E4" s="163" t="s">
        <v>168</v>
      </c>
      <c r="F4" s="165" t="s">
        <v>241</v>
      </c>
      <c r="H4" s="290" t="s">
        <v>56</v>
      </c>
      <c r="I4" s="284" t="s">
        <v>116</v>
      </c>
      <c r="J4" s="285"/>
      <c r="K4" s="286"/>
      <c r="L4" s="284" t="s">
        <v>6</v>
      </c>
      <c r="M4" s="285"/>
      <c r="N4" s="285"/>
      <c r="O4" s="286"/>
      <c r="P4" s="285" t="s">
        <v>164</v>
      </c>
      <c r="Q4" s="286"/>
      <c r="R4" s="284" t="s">
        <v>172</v>
      </c>
      <c r="S4" s="286"/>
      <c r="T4" s="284" t="s">
        <v>227</v>
      </c>
      <c r="U4" s="285"/>
      <c r="V4" s="286"/>
      <c r="W4" s="284" t="s">
        <v>228</v>
      </c>
      <c r="X4" s="285"/>
      <c r="Y4" s="286"/>
      <c r="Z4" s="284" t="s">
        <v>126</v>
      </c>
      <c r="AA4" s="285"/>
      <c r="AB4" s="286"/>
      <c r="AC4" s="164"/>
      <c r="AD4" s="164"/>
      <c r="AE4" s="290" t="s">
        <v>195</v>
      </c>
      <c r="AF4" s="290"/>
      <c r="AH4" s="166" t="s">
        <v>192</v>
      </c>
      <c r="AI4" s="167" t="e">
        <f>IRR(AE7:AE12)</f>
        <v>#NUM!</v>
      </c>
    </row>
    <row r="5" spans="2:35" x14ac:dyDescent="0.3">
      <c r="B5" s="168"/>
      <c r="C5" s="163" t="s">
        <v>117</v>
      </c>
      <c r="D5" s="163" t="s">
        <v>117</v>
      </c>
      <c r="E5" s="163" t="s">
        <v>117</v>
      </c>
      <c r="F5" s="163" t="s">
        <v>117</v>
      </c>
      <c r="G5" s="169"/>
      <c r="H5" s="290"/>
      <c r="I5" s="288" t="s">
        <v>152</v>
      </c>
      <c r="J5" s="203" t="s">
        <v>168</v>
      </c>
      <c r="K5" s="203" t="s">
        <v>241</v>
      </c>
      <c r="L5" s="203" t="s">
        <v>160</v>
      </c>
      <c r="M5" s="203" t="s">
        <v>139</v>
      </c>
      <c r="N5" s="203" t="s">
        <v>162</v>
      </c>
      <c r="O5" s="203" t="s">
        <v>224</v>
      </c>
      <c r="P5" s="203" t="s">
        <v>163</v>
      </c>
      <c r="Q5" s="203" t="s">
        <v>146</v>
      </c>
      <c r="R5" s="203" t="s">
        <v>172</v>
      </c>
      <c r="S5" s="203" t="s">
        <v>175</v>
      </c>
      <c r="T5" s="203" t="str">
        <f>"+CCA"</f>
        <v>+CCA</v>
      </c>
      <c r="U5" s="203" t="s">
        <v>8</v>
      </c>
      <c r="V5" s="203" t="s">
        <v>229</v>
      </c>
      <c r="W5" s="203" t="str">
        <f>"+CCA"</f>
        <v>+CCA</v>
      </c>
      <c r="X5" s="203" t="s">
        <v>8</v>
      </c>
      <c r="Y5" s="203" t="s">
        <v>229</v>
      </c>
      <c r="Z5" s="203" t="str">
        <f>"+CCA"</f>
        <v>+CCA</v>
      </c>
      <c r="AA5" s="203" t="s">
        <v>8</v>
      </c>
      <c r="AB5" s="203" t="s">
        <v>229</v>
      </c>
      <c r="AC5" s="203" t="s">
        <v>170</v>
      </c>
      <c r="AD5" s="203" t="s">
        <v>173</v>
      </c>
      <c r="AE5" s="203" t="s">
        <v>194</v>
      </c>
      <c r="AF5" s="203" t="s">
        <v>194</v>
      </c>
      <c r="AH5" s="166" t="s">
        <v>193</v>
      </c>
      <c r="AI5" s="171" t="e">
        <f>IRR(AF7:AF12)</f>
        <v>#NUM!</v>
      </c>
    </row>
    <row r="6" spans="2:35" x14ac:dyDescent="0.3">
      <c r="B6" s="172">
        <v>1</v>
      </c>
      <c r="C6" s="173">
        <f>Weather!I8*Configurations!$C$55*(1-Constants!$N$9)</f>
        <v>343.83601930815593</v>
      </c>
      <c r="D6" s="173">
        <f>Consumption!D10</f>
        <v>751.57009042842367</v>
      </c>
      <c r="E6" s="173">
        <f>IF(D6-C6&gt;0, D6-C6,0)</f>
        <v>407.73407112026774</v>
      </c>
      <c r="F6" s="174">
        <f>IF(C6&gt;D6,C6-D6,0)</f>
        <v>0</v>
      </c>
      <c r="G6" s="169"/>
      <c r="H6" s="293"/>
      <c r="I6" s="289"/>
      <c r="J6" s="175" t="s">
        <v>62</v>
      </c>
      <c r="K6" s="175" t="s">
        <v>62</v>
      </c>
      <c r="L6" s="175" t="s">
        <v>59</v>
      </c>
      <c r="M6" s="175" t="s">
        <v>59</v>
      </c>
      <c r="N6" s="175" t="s">
        <v>59</v>
      </c>
      <c r="O6" s="175" t="s">
        <v>59</v>
      </c>
      <c r="P6" s="175" t="s">
        <v>59</v>
      </c>
      <c r="Q6" s="175" t="s">
        <v>59</v>
      </c>
      <c r="R6" s="175" t="s">
        <v>59</v>
      </c>
      <c r="S6" s="175" t="s">
        <v>59</v>
      </c>
      <c r="T6" s="175" t="s">
        <v>59</v>
      </c>
      <c r="U6" s="175" t="s">
        <v>59</v>
      </c>
      <c r="V6" s="175" t="s">
        <v>59</v>
      </c>
      <c r="W6" s="175" t="s">
        <v>59</v>
      </c>
      <c r="X6" s="175" t="s">
        <v>59</v>
      </c>
      <c r="Y6" s="175" t="s">
        <v>59</v>
      </c>
      <c r="Z6" s="175" t="s">
        <v>59</v>
      </c>
      <c r="AA6" s="175" t="s">
        <v>59</v>
      </c>
      <c r="AB6" s="175" t="s">
        <v>59</v>
      </c>
      <c r="AC6" s="175" t="s">
        <v>59</v>
      </c>
      <c r="AD6" s="175" t="s">
        <v>59</v>
      </c>
      <c r="AE6" s="175" t="s">
        <v>59</v>
      </c>
      <c r="AF6" s="176" t="s">
        <v>176</v>
      </c>
      <c r="AH6" s="177" t="s">
        <v>196</v>
      </c>
      <c r="AI6" s="178">
        <f>NPV(Constants!$D$21,'Analysis (C)'!AF8:AF12)+'Analysis (C)'!AF7</f>
        <v>-9667.2156932490016</v>
      </c>
    </row>
    <row r="7" spans="2:35" x14ac:dyDescent="0.3">
      <c r="B7" s="172">
        <v>2</v>
      </c>
      <c r="C7" s="173">
        <f>Weather!I9*Configurations!$C$55*(1-Constants!$N$9)</f>
        <v>520.16912218221978</v>
      </c>
      <c r="D7" s="173">
        <f>Consumption!D11</f>
        <v>726.25333333333333</v>
      </c>
      <c r="E7" s="173">
        <f t="shared" ref="E7:E17" si="0">IF(D7-C7&gt;0, D7-C7,0)</f>
        <v>206.08421115111355</v>
      </c>
      <c r="F7" s="174">
        <f t="shared" ref="F7:F8" si="1">IF(C7&gt;D7,C7-D7,0)</f>
        <v>0</v>
      </c>
      <c r="H7" s="179">
        <v>0</v>
      </c>
      <c r="I7" s="180">
        <v>1</v>
      </c>
      <c r="J7" s="181">
        <v>0</v>
      </c>
      <c r="K7" s="181">
        <v>0</v>
      </c>
      <c r="L7" s="182">
        <v>0</v>
      </c>
      <c r="M7" s="183">
        <f>IF($C$20=0,Configurations!$C$58-Configurations!$C$59,0)</f>
        <v>0</v>
      </c>
      <c r="N7" s="183">
        <v>0</v>
      </c>
      <c r="O7" s="183">
        <v>0</v>
      </c>
      <c r="P7" s="183">
        <f>K7*'Grid Power'!$L$18</f>
        <v>0</v>
      </c>
      <c r="Q7" s="183">
        <v>0</v>
      </c>
      <c r="R7" s="182">
        <f t="shared" ref="R7:R12" si="2">SUM(P7:Q7)-SUM(L7:O7)</f>
        <v>0</v>
      </c>
      <c r="S7" s="182">
        <f>R7+'Analysis (Nothing)'!D5</f>
        <v>0</v>
      </c>
      <c r="T7" s="182">
        <f>Configurations!$C$71/2</f>
        <v>9108</v>
      </c>
      <c r="U7" s="182">
        <f>0</f>
        <v>0</v>
      </c>
      <c r="V7" s="182">
        <f>U7+T7</f>
        <v>9108</v>
      </c>
      <c r="W7" s="182">
        <f>Configurations!$D$71/2</f>
        <v>1490.3999999999999</v>
      </c>
      <c r="X7" s="182">
        <f>0</f>
        <v>0</v>
      </c>
      <c r="Y7" s="182">
        <f>X7+W7</f>
        <v>1490.3999999999999</v>
      </c>
      <c r="Z7" s="182">
        <f>Configurations!$E$71/2</f>
        <v>2318.4</v>
      </c>
      <c r="AA7" s="183">
        <v>0</v>
      </c>
      <c r="AB7" s="182">
        <f>Z7-AA7</f>
        <v>2318.4</v>
      </c>
      <c r="AC7" s="183">
        <f>IF(S7&lt;0, 0,S7-AA7-X7-U7)</f>
        <v>0</v>
      </c>
      <c r="AD7" s="182">
        <f>AC7*Constants!$D$23</f>
        <v>0</v>
      </c>
      <c r="AE7" s="182">
        <f t="shared" ref="AE7:AE12" si="3">S7-AD7</f>
        <v>0</v>
      </c>
      <c r="AF7" s="184">
        <f>AE7*(1+Constants!$D$20)^-H7</f>
        <v>0</v>
      </c>
      <c r="AH7" s="166" t="s">
        <v>197</v>
      </c>
      <c r="AI7" s="185">
        <f>PMT(Constants!$D$21,5,-'Analysis (C)'!AI6)</f>
        <v>-2110.8807393363081</v>
      </c>
    </row>
    <row r="8" spans="2:35" x14ac:dyDescent="0.3">
      <c r="B8" s="172">
        <v>3</v>
      </c>
      <c r="C8" s="173">
        <f>Weather!I10*Configurations!$C$55*(1-Constants!$N$9)</f>
        <v>945.44597942265193</v>
      </c>
      <c r="D8" s="173">
        <f>Consumption!D12</f>
        <v>691.67</v>
      </c>
      <c r="E8" s="173">
        <f t="shared" si="0"/>
        <v>0</v>
      </c>
      <c r="F8" s="174">
        <f t="shared" si="1"/>
        <v>253.77597942265197</v>
      </c>
      <c r="H8" s="172">
        <v>1</v>
      </c>
      <c r="I8" s="186">
        <f>I7*(1-Constants!$D$11)</f>
        <v>0.995</v>
      </c>
      <c r="J8" s="173">
        <f>$E$18*(2-I8)</f>
        <v>1120.55787902408</v>
      </c>
      <c r="K8" s="173">
        <f>$F$18*I8</f>
        <v>11607.889710195148</v>
      </c>
      <c r="L8" s="187">
        <f>IF(J8*'Grid Power'!K18&lt;0,0,J8*'Grid Power'!K18)</f>
        <v>136.48467130440704</v>
      </c>
      <c r="M8" s="188">
        <f>IF($C$20=5,Configurations!$F$58,IF('Analysis (C)'!$C$20=15,Configurations!$F$58,0))</f>
        <v>5571.1121308538277</v>
      </c>
      <c r="N8" s="188">
        <f>Configurations!$C$55*Constants!$D$63*1000</f>
        <v>100</v>
      </c>
      <c r="O8" s="188">
        <v>0</v>
      </c>
      <c r="P8" s="188">
        <f>K8*'Grid Power'!L18</f>
        <v>1184.0024172540734</v>
      </c>
      <c r="Q8" s="188"/>
      <c r="R8" s="187">
        <f t="shared" si="2"/>
        <v>-4623.5943849041614</v>
      </c>
      <c r="S8" s="187">
        <f>R8+'Analysis (Nothing)'!D6</f>
        <v>-3612.6441676784016</v>
      </c>
      <c r="T8" s="187">
        <f>Configurations!$C$71/2</f>
        <v>9108</v>
      </c>
      <c r="U8" s="187">
        <f>V7*Configurations!$C$72</f>
        <v>2732.4</v>
      </c>
      <c r="V8" s="187">
        <f>V7+T8-U8</f>
        <v>15483.6</v>
      </c>
      <c r="W8" s="187">
        <f>Configurations!$D$71/2</f>
        <v>1490.3999999999999</v>
      </c>
      <c r="X8" s="187">
        <f>Y7*Configurations!$D$72</f>
        <v>149.04</v>
      </c>
      <c r="Y8" s="187">
        <f>Y7+W8-X8</f>
        <v>2831.7599999999998</v>
      </c>
      <c r="Z8" s="187">
        <f>Configurations!$E$71/2</f>
        <v>2318.4</v>
      </c>
      <c r="AA8" s="187">
        <f>AB7*Configurations!$E$72</f>
        <v>463.68000000000006</v>
      </c>
      <c r="AB8" s="187">
        <f>AB7+Z8-AA8</f>
        <v>4173.12</v>
      </c>
      <c r="AC8" s="188">
        <f>IF(S8-AA8-X8-U8&lt;0, 0,S8-AA8-X8-U8)</f>
        <v>0</v>
      </c>
      <c r="AD8" s="187">
        <f>AC8*Constants!$D$23</f>
        <v>0</v>
      </c>
      <c r="AE8" s="187">
        <f t="shared" si="3"/>
        <v>-3612.6441676784016</v>
      </c>
      <c r="AF8" s="189">
        <f>AE8*(1+Constants!$D$20)^-H8</f>
        <v>-3541.8080075278444</v>
      </c>
    </row>
    <row r="9" spans="2:35" x14ac:dyDescent="0.3">
      <c r="B9" s="172">
        <v>4</v>
      </c>
      <c r="C9" s="173">
        <f>Weather!I11*Configurations!$C$55*(1-Constants!$N$9)</f>
        <v>1627.441530871683</v>
      </c>
      <c r="D9" s="173">
        <f>Consumption!D13</f>
        <v>657.08666666666659</v>
      </c>
      <c r="E9" s="173">
        <f t="shared" si="0"/>
        <v>0</v>
      </c>
      <c r="F9" s="174">
        <f>IF(C9&gt;D9,C9-D9,0)</f>
        <v>970.35486420501638</v>
      </c>
      <c r="H9" s="172">
        <v>2</v>
      </c>
      <c r="I9" s="186">
        <f>I8*(1-Constants!$D$11)</f>
        <v>0.99002500000000004</v>
      </c>
      <c r="J9" s="173">
        <f t="shared" ref="J9:J12" si="4">$E$18*(2-I9)</f>
        <v>1126.1049192709902</v>
      </c>
      <c r="K9" s="173">
        <f t="shared" ref="K9:K12" si="5">$F$18*I9</f>
        <v>11549.850261644173</v>
      </c>
      <c r="L9" s="187">
        <f>IF(J9*'Grid Power'!K19&lt;0,0,J9*'Grid Power'!K19)</f>
        <v>143.38527354403797</v>
      </c>
      <c r="M9" s="188">
        <f>IF($C$20=5,Configurations!$F$58,IF('Analysis (C)'!$C$20=15,Configurations!$F$58,0))</f>
        <v>5571.1121308538277</v>
      </c>
      <c r="N9" s="188">
        <f>Configurations!$C$55*Constants!$D$63*1000</f>
        <v>100</v>
      </c>
      <c r="O9" s="188">
        <v>0</v>
      </c>
      <c r="P9" s="188">
        <f>K9*'Grid Power'!L19</f>
        <v>1189.8632292194811</v>
      </c>
      <c r="Q9" s="188"/>
      <c r="R9" s="187">
        <f t="shared" si="2"/>
        <v>-4624.6341751783839</v>
      </c>
      <c r="S9" s="187">
        <f>R9+'Analysis (Nothing)'!D7</f>
        <v>-3567.8023600781553</v>
      </c>
      <c r="T9" s="187">
        <v>0</v>
      </c>
      <c r="U9" s="187">
        <f>V8*Configurations!$C$72</f>
        <v>4645.08</v>
      </c>
      <c r="V9" s="187">
        <f t="shared" ref="V9:V12" si="6">V8+T9-U9</f>
        <v>10838.52</v>
      </c>
      <c r="W9" s="187">
        <v>0</v>
      </c>
      <c r="X9" s="187">
        <f>Y8*Configurations!$D$72</f>
        <v>283.17599999999999</v>
      </c>
      <c r="Y9" s="187">
        <f t="shared" ref="Y9:Y12" si="7">Y8+W9-X9</f>
        <v>2548.5839999999998</v>
      </c>
      <c r="Z9" s="188">
        <v>0</v>
      </c>
      <c r="AA9" s="187">
        <f>AB8*Configurations!$E$72</f>
        <v>834.62400000000002</v>
      </c>
      <c r="AB9" s="187">
        <f t="shared" ref="AB9:AB12" si="8">AB8+Z9-AA9</f>
        <v>3338.4960000000001</v>
      </c>
      <c r="AC9" s="188">
        <f t="shared" ref="AC9:AC12" si="9">IF(S9-AA9-X9-U9&lt;0, 0,S9-AA9-X9-U9)</f>
        <v>0</v>
      </c>
      <c r="AD9" s="187">
        <f>AC9*Constants!$D$23</f>
        <v>0</v>
      </c>
      <c r="AE9" s="187">
        <f t="shared" si="3"/>
        <v>-3567.8023600781553</v>
      </c>
      <c r="AF9" s="189">
        <f>AE9*(1+Constants!$D$20)^-H9</f>
        <v>-3429.2602461343286</v>
      </c>
    </row>
    <row r="10" spans="2:35" x14ac:dyDescent="0.3">
      <c r="B10" s="172">
        <v>5</v>
      </c>
      <c r="C10" s="173">
        <f>Weather!I12*Configurations!$C$55*(1-Constants!$N$9)</f>
        <v>2416.0463336076659</v>
      </c>
      <c r="D10" s="173">
        <f>Consumption!D14</f>
        <v>631.76990957157625</v>
      </c>
      <c r="E10" s="173">
        <f t="shared" si="0"/>
        <v>0</v>
      </c>
      <c r="F10" s="174">
        <f t="shared" ref="F10:F17" si="10">IF(C10&gt;D10,C10-D10,0)</f>
        <v>1784.2764240360898</v>
      </c>
      <c r="H10" s="172">
        <v>3</v>
      </c>
      <c r="I10" s="186">
        <f>I9*(1-Constants!$D$11)</f>
        <v>0.98507487500000002</v>
      </c>
      <c r="J10" s="173">
        <f t="shared" si="4"/>
        <v>1131.624224316666</v>
      </c>
      <c r="K10" s="173">
        <f t="shared" si="5"/>
        <v>11492.101010335951</v>
      </c>
      <c r="L10" s="187">
        <f>IF(J10*'Grid Power'!K20&lt;0,0,J10*'Grid Power'!K20)</f>
        <v>150.64551954432741</v>
      </c>
      <c r="M10" s="188">
        <f>IF($C$20=5,Configurations!$F$58,IF('Analysis (C)'!$C$20=15,Configurations!$F$58,0))</f>
        <v>5571.1121308538277</v>
      </c>
      <c r="N10" s="188">
        <f>Configurations!$C$55*Constants!$D$63*1000</f>
        <v>100</v>
      </c>
      <c r="O10" s="188">
        <v>0</v>
      </c>
      <c r="P10" s="188">
        <f>K10*'Grid Power'!L20</f>
        <v>1195.7530522041177</v>
      </c>
      <c r="Q10" s="188"/>
      <c r="R10" s="187">
        <f t="shared" si="2"/>
        <v>-4626.0045981940375</v>
      </c>
      <c r="S10" s="187">
        <f>R10+'Analysis (Nothing)'!D8</f>
        <v>-3521.0761147182311</v>
      </c>
      <c r="T10" s="187">
        <v>0</v>
      </c>
      <c r="U10" s="187">
        <f>V9*Configurations!$C$72</f>
        <v>3251.556</v>
      </c>
      <c r="V10" s="187">
        <f t="shared" si="6"/>
        <v>7586.9639999999999</v>
      </c>
      <c r="W10" s="187">
        <v>0</v>
      </c>
      <c r="X10" s="187">
        <f>Y9*Configurations!$D$72</f>
        <v>254.85839999999999</v>
      </c>
      <c r="Y10" s="187">
        <f t="shared" si="7"/>
        <v>2293.7255999999998</v>
      </c>
      <c r="Z10" s="188">
        <v>0</v>
      </c>
      <c r="AA10" s="187">
        <f>AB9*Configurations!$E$72</f>
        <v>667.69920000000002</v>
      </c>
      <c r="AB10" s="187">
        <f t="shared" si="8"/>
        <v>2670.7968000000001</v>
      </c>
      <c r="AC10" s="188">
        <f t="shared" si="9"/>
        <v>0</v>
      </c>
      <c r="AD10" s="187">
        <f>AC10*Constants!$D$23</f>
        <v>0</v>
      </c>
      <c r="AE10" s="187">
        <f t="shared" si="3"/>
        <v>-3521.0761147182311</v>
      </c>
      <c r="AF10" s="189">
        <f>AE10*(1+Constants!$D$20)^-H10</f>
        <v>-3317.9886645391211</v>
      </c>
    </row>
    <row r="11" spans="2:35" x14ac:dyDescent="0.3">
      <c r="B11" s="172">
        <v>6</v>
      </c>
      <c r="C11" s="173">
        <f>Weather!I13*Configurations!$C$55*(1-Constants!$N$9)</f>
        <v>3010.8501386093294</v>
      </c>
      <c r="D11" s="173">
        <f>Consumption!D15</f>
        <v>622.50333333333333</v>
      </c>
      <c r="E11" s="173">
        <f t="shared" si="0"/>
        <v>0</v>
      </c>
      <c r="F11" s="174">
        <f t="shared" si="10"/>
        <v>2388.3468052759963</v>
      </c>
      <c r="H11" s="172">
        <v>4</v>
      </c>
      <c r="I11" s="186">
        <f>I10*(1-Constants!$D$11)</f>
        <v>0.98014950062500006</v>
      </c>
      <c r="J11" s="173">
        <f t="shared" si="4"/>
        <v>1137.1159328371132</v>
      </c>
      <c r="K11" s="173">
        <f t="shared" si="5"/>
        <v>11434.640505284273</v>
      </c>
      <c r="L11" s="187">
        <f>IF(J11*'Grid Power'!K21&lt;0,0,J11*'Grid Power'!K21)</f>
        <v>158.28446575431599</v>
      </c>
      <c r="M11" s="188">
        <f>IF($C$20=5,Configurations!$F$58,IF('Analysis (C)'!$C$20=15,Configurations!$F$58,0))</f>
        <v>5571.1121308538277</v>
      </c>
      <c r="N11" s="188">
        <f>Configurations!$C$55*Constants!$D$63*1000</f>
        <v>100</v>
      </c>
      <c r="O11" s="188">
        <v>0</v>
      </c>
      <c r="P11" s="188">
        <f>K11*'Grid Power'!L21</f>
        <v>1201.6720298125281</v>
      </c>
      <c r="Q11" s="188"/>
      <c r="R11" s="187">
        <f t="shared" si="2"/>
        <v>-4627.7245667956149</v>
      </c>
      <c r="S11" s="187">
        <f>R11+'Analysis (Nothing)'!D9</f>
        <v>-3472.3741234493564</v>
      </c>
      <c r="T11" s="187">
        <v>0</v>
      </c>
      <c r="U11" s="187">
        <f>V10*Configurations!$C$72</f>
        <v>2276.0891999999999</v>
      </c>
      <c r="V11" s="187">
        <f t="shared" si="6"/>
        <v>5310.8747999999996</v>
      </c>
      <c r="W11" s="187">
        <v>0</v>
      </c>
      <c r="X11" s="187">
        <f>Y10*Configurations!$D$72</f>
        <v>229.37255999999999</v>
      </c>
      <c r="Y11" s="187">
        <f t="shared" si="7"/>
        <v>2064.35304</v>
      </c>
      <c r="Z11" s="188">
        <v>0</v>
      </c>
      <c r="AA11" s="187">
        <f>AB10*Configurations!$E$72</f>
        <v>534.15935999999999</v>
      </c>
      <c r="AB11" s="187">
        <f t="shared" si="8"/>
        <v>2136.63744</v>
      </c>
      <c r="AC11" s="188">
        <f t="shared" si="9"/>
        <v>0</v>
      </c>
      <c r="AD11" s="187">
        <f>AC11*Constants!$D$23</f>
        <v>0</v>
      </c>
      <c r="AE11" s="187">
        <f t="shared" si="3"/>
        <v>-3472.3741234493564</v>
      </c>
      <c r="AF11" s="189">
        <f>AE11*(1+Constants!$D$20)^-H11</f>
        <v>-3207.9369514015143</v>
      </c>
    </row>
    <row r="12" spans="2:35" x14ac:dyDescent="0.3">
      <c r="B12" s="172">
        <v>7</v>
      </c>
      <c r="C12" s="173">
        <f>Weather!I14*Configurations!$C$55*(1-Constants!$N$9)</f>
        <v>3130.6645621576363</v>
      </c>
      <c r="D12" s="173">
        <f>Consumption!D16</f>
        <v>631.76990957157625</v>
      </c>
      <c r="E12" s="173">
        <f t="shared" si="0"/>
        <v>0</v>
      </c>
      <c r="F12" s="174">
        <f t="shared" si="10"/>
        <v>2498.8946525860601</v>
      </c>
      <c r="H12" s="190">
        <v>5</v>
      </c>
      <c r="I12" s="191">
        <f>I11*(1-Constants!$D$11)</f>
        <v>0.97524875312187509</v>
      </c>
      <c r="J12" s="192">
        <f t="shared" si="4"/>
        <v>1142.5801828149581</v>
      </c>
      <c r="K12" s="192">
        <f t="shared" si="5"/>
        <v>11377.467302757852</v>
      </c>
      <c r="L12" s="193">
        <f>IF(J12*'Grid Power'!K22&lt;0,0,J12*'Grid Power'!K22)</f>
        <v>166.32218337402776</v>
      </c>
      <c r="M12" s="194">
        <f>IF($C$20=5,Configurations!$F$58,IF('Analysis (C)'!$C$20=15,Configurations!$F$58,0))</f>
        <v>5571.1121308538277</v>
      </c>
      <c r="N12" s="194">
        <f>Configurations!$C$55*Constants!$D$63*1000</f>
        <v>100</v>
      </c>
      <c r="O12" s="194">
        <v>0</v>
      </c>
      <c r="P12" s="194">
        <f>K12*'Grid Power'!L22</f>
        <v>1207.6203063601001</v>
      </c>
      <c r="Q12" s="194">
        <f>V12+Y12+AB12</f>
        <v>7284.840048</v>
      </c>
      <c r="R12" s="193">
        <f t="shared" si="2"/>
        <v>2655.0260401322448</v>
      </c>
      <c r="S12" s="193">
        <f>R12+'Analysis (Nothing)'!D10</f>
        <v>3863.2395166610386</v>
      </c>
      <c r="T12" s="193">
        <v>0</v>
      </c>
      <c r="U12" s="193">
        <f>V11*Configurations!$C$72</f>
        <v>1593.2624399999997</v>
      </c>
      <c r="V12" s="193">
        <f t="shared" si="6"/>
        <v>3717.6123600000001</v>
      </c>
      <c r="W12" s="193">
        <v>0</v>
      </c>
      <c r="X12" s="193">
        <f>Y11*Configurations!$D$72</f>
        <v>206.435304</v>
      </c>
      <c r="Y12" s="193">
        <f t="shared" si="7"/>
        <v>1857.9177359999999</v>
      </c>
      <c r="Z12" s="194">
        <v>0</v>
      </c>
      <c r="AA12" s="193">
        <f>AB11*Configurations!$E$72</f>
        <v>427.32748800000002</v>
      </c>
      <c r="AB12" s="193">
        <f t="shared" si="8"/>
        <v>1709.3099520000001</v>
      </c>
      <c r="AC12" s="194">
        <f t="shared" si="9"/>
        <v>1636.2142846610388</v>
      </c>
      <c r="AD12" s="193">
        <f>AC12*Constants!$D$23</f>
        <v>163.62142846610391</v>
      </c>
      <c r="AE12" s="193">
        <f t="shared" si="3"/>
        <v>3699.6180881949349</v>
      </c>
      <c r="AF12" s="195">
        <f>AE12*(1+Constants!$D$20)^-H12</f>
        <v>3350.8580870822038</v>
      </c>
    </row>
    <row r="13" spans="2:35" x14ac:dyDescent="0.3">
      <c r="B13" s="172">
        <v>8</v>
      </c>
      <c r="C13" s="173">
        <f>Weather!I15*Configurations!$C$55*(1-Constants!$N$9)</f>
        <v>2710.844777416331</v>
      </c>
      <c r="D13" s="173">
        <f>Consumption!D17</f>
        <v>657.08666666666659</v>
      </c>
      <c r="E13" s="173">
        <f t="shared" si="0"/>
        <v>0</v>
      </c>
      <c r="F13" s="174">
        <f t="shared" si="10"/>
        <v>2053.7581107496644</v>
      </c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</row>
    <row r="14" spans="2:35" x14ac:dyDescent="0.3">
      <c r="B14" s="172">
        <v>9</v>
      </c>
      <c r="C14" s="173">
        <f>Weather!I16*Configurations!$C$55*(1-Constants!$N$9)</f>
        <v>1952.9298370460194</v>
      </c>
      <c r="D14" s="173">
        <f>Consumption!D18</f>
        <v>691.67</v>
      </c>
      <c r="E14" s="173">
        <f t="shared" si="0"/>
        <v>0</v>
      </c>
      <c r="F14" s="174">
        <f t="shared" si="10"/>
        <v>1261.2598370460196</v>
      </c>
      <c r="H14" s="290" t="s">
        <v>200</v>
      </c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</row>
    <row r="15" spans="2:35" x14ac:dyDescent="0.3">
      <c r="B15" s="172">
        <v>10</v>
      </c>
      <c r="C15" s="173">
        <f>Weather!I17*Configurations!$C$55*(1-Constants!$N$9)</f>
        <v>1181.8074742783151</v>
      </c>
      <c r="D15" s="173">
        <f>Consumption!D19</f>
        <v>726.25333333333333</v>
      </c>
      <c r="E15" s="173">
        <f t="shared" si="0"/>
        <v>0</v>
      </c>
      <c r="F15" s="174">
        <f t="shared" si="10"/>
        <v>455.55414094498178</v>
      </c>
      <c r="H15" s="290" t="s">
        <v>56</v>
      </c>
      <c r="I15" s="284" t="s">
        <v>116</v>
      </c>
      <c r="J15" s="285"/>
      <c r="K15" s="286"/>
      <c r="L15" s="284" t="s">
        <v>6</v>
      </c>
      <c r="M15" s="285"/>
      <c r="N15" s="285"/>
      <c r="O15" s="286"/>
      <c r="P15" s="285" t="s">
        <v>164</v>
      </c>
      <c r="Q15" s="286"/>
      <c r="R15" s="284" t="s">
        <v>172</v>
      </c>
      <c r="S15" s="286"/>
      <c r="T15" s="284" t="s">
        <v>227</v>
      </c>
      <c r="U15" s="285"/>
      <c r="V15" s="286"/>
      <c r="W15" s="284" t="s">
        <v>228</v>
      </c>
      <c r="X15" s="285"/>
      <c r="Y15" s="286"/>
      <c r="Z15" s="284" t="s">
        <v>126</v>
      </c>
      <c r="AA15" s="285"/>
      <c r="AB15" s="286"/>
      <c r="AC15" s="164"/>
      <c r="AD15" s="164"/>
      <c r="AE15" s="290" t="s">
        <v>195</v>
      </c>
      <c r="AF15" s="290"/>
      <c r="AH15" s="166" t="s">
        <v>192</v>
      </c>
      <c r="AI15" s="167">
        <f>IRR(AE18:AE38)</f>
        <v>2.9925462308420192E-2</v>
      </c>
    </row>
    <row r="16" spans="2:35" x14ac:dyDescent="0.3">
      <c r="B16" s="172">
        <v>11</v>
      </c>
      <c r="C16" s="173">
        <f>Weather!I18*Configurations!$C$55*(1-Constants!$N$9)</f>
        <v>636.70164838155426</v>
      </c>
      <c r="D16" s="173">
        <f>Consumption!D20</f>
        <v>751.57009042842367</v>
      </c>
      <c r="E16" s="173">
        <f t="shared" si="0"/>
        <v>114.8684420468694</v>
      </c>
      <c r="F16" s="174">
        <f t="shared" si="10"/>
        <v>0</v>
      </c>
      <c r="H16" s="290"/>
      <c r="I16" s="288" t="s">
        <v>152</v>
      </c>
      <c r="J16" s="203" t="s">
        <v>168</v>
      </c>
      <c r="K16" s="203" t="s">
        <v>241</v>
      </c>
      <c r="L16" s="203" t="s">
        <v>160</v>
      </c>
      <c r="M16" s="203" t="s">
        <v>139</v>
      </c>
      <c r="N16" s="203" t="s">
        <v>162</v>
      </c>
      <c r="O16" s="203" t="s">
        <v>224</v>
      </c>
      <c r="P16" s="203" t="s">
        <v>163</v>
      </c>
      <c r="Q16" s="203" t="s">
        <v>146</v>
      </c>
      <c r="R16" s="203" t="s">
        <v>172</v>
      </c>
      <c r="S16" s="203" t="s">
        <v>175</v>
      </c>
      <c r="T16" s="203" t="str">
        <f>"+CCA"</f>
        <v>+CCA</v>
      </c>
      <c r="U16" s="203" t="s">
        <v>8</v>
      </c>
      <c r="V16" s="203" t="s">
        <v>229</v>
      </c>
      <c r="W16" s="203" t="str">
        <f>"+CCA"</f>
        <v>+CCA</v>
      </c>
      <c r="X16" s="203" t="s">
        <v>8</v>
      </c>
      <c r="Y16" s="203" t="s">
        <v>229</v>
      </c>
      <c r="Z16" s="203" t="str">
        <f>"+CCA"</f>
        <v>+CCA</v>
      </c>
      <c r="AA16" s="203" t="s">
        <v>8</v>
      </c>
      <c r="AB16" s="203" t="s">
        <v>229</v>
      </c>
      <c r="AC16" s="203" t="s">
        <v>170</v>
      </c>
      <c r="AD16" s="203" t="s">
        <v>173</v>
      </c>
      <c r="AE16" s="203" t="s">
        <v>194</v>
      </c>
      <c r="AF16" s="203" t="s">
        <v>194</v>
      </c>
      <c r="AH16" s="166" t="s">
        <v>193</v>
      </c>
      <c r="AI16" s="171">
        <f>IRR(AF18:AF38)</f>
        <v>9.7308454003983691E-3</v>
      </c>
    </row>
    <row r="17" spans="2:35" x14ac:dyDescent="0.3">
      <c r="B17" s="172">
        <v>12</v>
      </c>
      <c r="C17" s="173">
        <f>Weather!I19*Configurations!$C$55*(1-Constants!$N$9)</f>
        <v>374.54042678185255</v>
      </c>
      <c r="D17" s="173">
        <f>Consumption!D21</f>
        <v>760.83666666666659</v>
      </c>
      <c r="E17" s="173">
        <f t="shared" si="0"/>
        <v>386.29623988481404</v>
      </c>
      <c r="F17" s="174">
        <f t="shared" si="10"/>
        <v>0</v>
      </c>
      <c r="H17" s="293"/>
      <c r="I17" s="289"/>
      <c r="J17" s="175" t="s">
        <v>62</v>
      </c>
      <c r="K17" s="175" t="s">
        <v>62</v>
      </c>
      <c r="L17" s="175" t="s">
        <v>59</v>
      </c>
      <c r="M17" s="175" t="s">
        <v>59</v>
      </c>
      <c r="N17" s="175" t="s">
        <v>59</v>
      </c>
      <c r="O17" s="175" t="s">
        <v>59</v>
      </c>
      <c r="P17" s="175" t="s">
        <v>59</v>
      </c>
      <c r="Q17" s="175" t="s">
        <v>59</v>
      </c>
      <c r="R17" s="175" t="s">
        <v>59</v>
      </c>
      <c r="S17" s="175" t="s">
        <v>59</v>
      </c>
      <c r="T17" s="175" t="s">
        <v>59</v>
      </c>
      <c r="U17" s="175" t="s">
        <v>59</v>
      </c>
      <c r="V17" s="175" t="s">
        <v>59</v>
      </c>
      <c r="W17" s="175" t="s">
        <v>59</v>
      </c>
      <c r="X17" s="175" t="s">
        <v>59</v>
      </c>
      <c r="Y17" s="175" t="s">
        <v>59</v>
      </c>
      <c r="Z17" s="175" t="s">
        <v>59</v>
      </c>
      <c r="AA17" s="175" t="s">
        <v>59</v>
      </c>
      <c r="AB17" s="175" t="s">
        <v>59</v>
      </c>
      <c r="AC17" s="175" t="s">
        <v>59</v>
      </c>
      <c r="AD17" s="175" t="s">
        <v>59</v>
      </c>
      <c r="AE17" s="175" t="s">
        <v>59</v>
      </c>
      <c r="AF17" s="176" t="s">
        <v>176</v>
      </c>
      <c r="AH17" s="177" t="s">
        <v>196</v>
      </c>
      <c r="AI17" s="178">
        <f>NPV(Constants!$D$21,'Analysis (C)'!AF19:AF38)+'Analysis (C)'!AF18</f>
        <v>-1299.2832819665923</v>
      </c>
    </row>
    <row r="18" spans="2:35" x14ac:dyDescent="0.3">
      <c r="B18" s="197" t="s">
        <v>87</v>
      </c>
      <c r="C18" s="198">
        <f>SUM(C6:C17)</f>
        <v>18851.277850063409</v>
      </c>
      <c r="D18" s="198">
        <f>SUM(D6:D17)</f>
        <v>8300.0400000000009</v>
      </c>
      <c r="E18" s="198">
        <f>SUM(E6:E17)</f>
        <v>1114.9829642030647</v>
      </c>
      <c r="F18" s="199">
        <f>SUM(F6:F17)</f>
        <v>11666.22081426648</v>
      </c>
      <c r="G18" s="196"/>
      <c r="H18" s="179">
        <v>0</v>
      </c>
      <c r="I18" s="180">
        <v>1</v>
      </c>
      <c r="J18" s="181">
        <v>0</v>
      </c>
      <c r="K18" s="181">
        <v>0</v>
      </c>
      <c r="L18" s="182">
        <v>0</v>
      </c>
      <c r="M18" s="183">
        <f>IF($C$20=0,Configurations!$C$58-Configurations!$C$59,0)</f>
        <v>0</v>
      </c>
      <c r="N18" s="183">
        <v>0</v>
      </c>
      <c r="O18" s="183">
        <v>0</v>
      </c>
      <c r="P18" s="183">
        <f>K18*'Grid Power'!$L$18</f>
        <v>0</v>
      </c>
      <c r="Q18" s="183">
        <v>0</v>
      </c>
      <c r="R18" s="182">
        <f t="shared" ref="R18:R38" si="11">SUM(P18:Q18)-SUM(L18:O18)</f>
        <v>0</v>
      </c>
      <c r="S18" s="182">
        <f>R18+'Analysis (Nothing)'!D5</f>
        <v>0</v>
      </c>
      <c r="T18" s="182">
        <f>Configurations!$C$71/2</f>
        <v>9108</v>
      </c>
      <c r="U18" s="182">
        <f>0</f>
        <v>0</v>
      </c>
      <c r="V18" s="182">
        <f>U18+T18</f>
        <v>9108</v>
      </c>
      <c r="W18" s="182">
        <f>Configurations!$D$71/2</f>
        <v>1490.3999999999999</v>
      </c>
      <c r="X18" s="182">
        <f>0</f>
        <v>0</v>
      </c>
      <c r="Y18" s="182">
        <f>X18+W18</f>
        <v>1490.3999999999999</v>
      </c>
      <c r="Z18" s="182">
        <f>Configurations!$E$71/2</f>
        <v>2318.4</v>
      </c>
      <c r="AA18" s="183">
        <v>0</v>
      </c>
      <c r="AB18" s="182">
        <f>Z18-AA18</f>
        <v>2318.4</v>
      </c>
      <c r="AC18" s="183">
        <f>IF(S18&lt;0, 0,S18-AA18-X18-U18)</f>
        <v>0</v>
      </c>
      <c r="AD18" s="182">
        <f>AC18*Constants!$D$23</f>
        <v>0</v>
      </c>
      <c r="AE18" s="182">
        <f t="shared" ref="AE18:AE36" si="12">S18-AD18</f>
        <v>0</v>
      </c>
      <c r="AF18" s="184">
        <f>AE18*(1+Constants!$D$20)^-H18</f>
        <v>0</v>
      </c>
      <c r="AH18" s="166" t="s">
        <v>197</v>
      </c>
      <c r="AI18" s="185">
        <f>PMT(Constants!$D$21,5,-'Analysis (C)'!AI17)</f>
        <v>-283.70444416174905</v>
      </c>
    </row>
    <row r="19" spans="2:35" x14ac:dyDescent="0.3">
      <c r="D19" s="200"/>
      <c r="G19" s="201"/>
      <c r="H19" s="172">
        <v>1</v>
      </c>
      <c r="I19" s="186">
        <f>I18*(1-Constants!$D$11)</f>
        <v>0.995</v>
      </c>
      <c r="J19" s="173">
        <f>$E$18*(2-I19)</f>
        <v>1120.55787902408</v>
      </c>
      <c r="K19" s="173">
        <f>$F$18*I19</f>
        <v>11607.889710195148</v>
      </c>
      <c r="L19" s="187">
        <f>IF(J19*'Grid Power'!K18&lt;0,0,J19*'Grid Power'!K18)</f>
        <v>136.48467130440704</v>
      </c>
      <c r="M19" s="188">
        <f>IF($C$20=5,Configurations!$F$58,IF('Analysis (C)'!$C$20=15,Configurations!$F$59,0))</f>
        <v>2323.7759771349743</v>
      </c>
      <c r="N19" s="188">
        <f>Configurations!$C$55*Constants!$D$63*1000</f>
        <v>100</v>
      </c>
      <c r="O19" s="188">
        <v>0</v>
      </c>
      <c r="P19" s="188">
        <f>K19*'Grid Power'!L18</f>
        <v>1184.0024172540734</v>
      </c>
      <c r="Q19" s="188">
        <v>0</v>
      </c>
      <c r="R19" s="187">
        <f t="shared" si="11"/>
        <v>-1376.258231185308</v>
      </c>
      <c r="S19" s="187">
        <f>R19+'Analysis (Nothing)'!D6</f>
        <v>-365.30801395954791</v>
      </c>
      <c r="T19" s="187">
        <f>Configurations!$C$71/2</f>
        <v>9108</v>
      </c>
      <c r="U19" s="187">
        <f>V18*Configurations!$C$72</f>
        <v>2732.4</v>
      </c>
      <c r="V19" s="187">
        <f>V18+T19-U19</f>
        <v>15483.6</v>
      </c>
      <c r="W19" s="187">
        <f>Configurations!$D$71/2</f>
        <v>1490.3999999999999</v>
      </c>
      <c r="X19" s="187">
        <f>Y18*Configurations!$D$72</f>
        <v>149.04</v>
      </c>
      <c r="Y19" s="187">
        <f>Y18+W19-X19</f>
        <v>2831.7599999999998</v>
      </c>
      <c r="Z19" s="187">
        <f>Configurations!$E$71/2</f>
        <v>2318.4</v>
      </c>
      <c r="AA19" s="187">
        <f>AB18*Configurations!$E$72</f>
        <v>463.68000000000006</v>
      </c>
      <c r="AB19" s="187">
        <f>AB18+Z19-AA19</f>
        <v>4173.12</v>
      </c>
      <c r="AC19" s="188">
        <f>IF(S19-AA19-X19-U19&lt;0, 0,S19-AA19-X19-U19)</f>
        <v>0</v>
      </c>
      <c r="AD19" s="187">
        <f>AC19*Constants!$D$23</f>
        <v>0</v>
      </c>
      <c r="AE19" s="187">
        <f t="shared" si="12"/>
        <v>-365.30801395954791</v>
      </c>
      <c r="AF19" s="189">
        <f>AE19*(1+Constants!$D$20)^-H19</f>
        <v>-358.14511172504695</v>
      </c>
    </row>
    <row r="20" spans="2:35" x14ac:dyDescent="0.3">
      <c r="B20" s="287" t="s">
        <v>254</v>
      </c>
      <c r="C20" s="162">
        <v>15</v>
      </c>
      <c r="H20" s="172">
        <v>2</v>
      </c>
      <c r="I20" s="186">
        <f>I19*(1-Constants!$D$11)</f>
        <v>0.99002500000000004</v>
      </c>
      <c r="J20" s="173">
        <f t="shared" ref="J20:J38" si="13">$E$18*(2-I20)</f>
        <v>1126.1049192709902</v>
      </c>
      <c r="K20" s="173">
        <f t="shared" ref="K20:K38" si="14">$F$18*I20</f>
        <v>11549.850261644173</v>
      </c>
      <c r="L20" s="187">
        <f>IF(J20*'Grid Power'!K19&lt;0,0,J20*'Grid Power'!K19)</f>
        <v>143.38527354403797</v>
      </c>
      <c r="M20" s="188">
        <f>IF($C$20=5,Configurations!$F$58,IF('Analysis (C)'!$C$20=15,Configurations!$F$59,0))</f>
        <v>2323.7759771349743</v>
      </c>
      <c r="N20" s="188">
        <f>N19*(1+Constants!$D$20)</f>
        <v>102</v>
      </c>
      <c r="O20" s="188">
        <v>0</v>
      </c>
      <c r="P20" s="188">
        <f>K20*'Grid Power'!L19</f>
        <v>1189.8632292194811</v>
      </c>
      <c r="Q20" s="188">
        <v>0</v>
      </c>
      <c r="R20" s="187">
        <f t="shared" si="11"/>
        <v>-1379.2980214595309</v>
      </c>
      <c r="S20" s="187">
        <f>R20+'Analysis (Nothing)'!D7</f>
        <v>-322.46620635930208</v>
      </c>
      <c r="T20" s="187">
        <v>0</v>
      </c>
      <c r="U20" s="187">
        <f>V19*Configurations!$C$72</f>
        <v>4645.08</v>
      </c>
      <c r="V20" s="187">
        <f t="shared" ref="V20:V38" si="15">V19+T20-U20</f>
        <v>10838.52</v>
      </c>
      <c r="W20" s="187">
        <v>0</v>
      </c>
      <c r="X20" s="187">
        <f>Y19*Configurations!$D$72</f>
        <v>283.17599999999999</v>
      </c>
      <c r="Y20" s="187">
        <f t="shared" ref="Y20:Y38" si="16">Y19+W20-X20</f>
        <v>2548.5839999999998</v>
      </c>
      <c r="Z20" s="188">
        <v>0</v>
      </c>
      <c r="AA20" s="187">
        <f>AB19*Configurations!$E$72</f>
        <v>834.62400000000002</v>
      </c>
      <c r="AB20" s="187">
        <f t="shared" ref="AB20:AB38" si="17">AB19+Z20-AA20</f>
        <v>3338.4960000000001</v>
      </c>
      <c r="AC20" s="188">
        <f t="shared" ref="AC20:AC38" si="18">IF(S20-AA20-X20-U20&lt;0, 0,S20-AA20-X20-U20)</f>
        <v>0</v>
      </c>
      <c r="AD20" s="187">
        <f>AC20*Constants!$D$23</f>
        <v>0</v>
      </c>
      <c r="AE20" s="187">
        <f t="shared" si="12"/>
        <v>-322.46620635930208</v>
      </c>
      <c r="AF20" s="189">
        <f>AE20*(1+Constants!$D$20)^-H20</f>
        <v>-309.94445055680711</v>
      </c>
    </row>
    <row r="21" spans="2:35" x14ac:dyDescent="0.3">
      <c r="B21" s="287"/>
      <c r="C21" s="162" t="s">
        <v>255</v>
      </c>
      <c r="D21" s="200" t="s">
        <v>256</v>
      </c>
      <c r="H21" s="172">
        <v>3</v>
      </c>
      <c r="I21" s="186">
        <f>I20*(1-Constants!$D$11)</f>
        <v>0.98507487500000002</v>
      </c>
      <c r="J21" s="173">
        <f t="shared" si="13"/>
        <v>1131.624224316666</v>
      </c>
      <c r="K21" s="173">
        <f t="shared" si="14"/>
        <v>11492.101010335951</v>
      </c>
      <c r="L21" s="187">
        <f>IF(J21*'Grid Power'!K20&lt;0,0,J21*'Grid Power'!K20)</f>
        <v>150.64551954432741</v>
      </c>
      <c r="M21" s="188">
        <f>IF($C$20=5,Configurations!$F$58,IF('Analysis (C)'!$C$20=15,Configurations!$F$59,0))</f>
        <v>2323.7759771349743</v>
      </c>
      <c r="N21" s="188">
        <f>N20*(1+Constants!$D$20)</f>
        <v>104.04</v>
      </c>
      <c r="O21" s="188">
        <v>0</v>
      </c>
      <c r="P21" s="188">
        <f>K21*'Grid Power'!L20</f>
        <v>1195.7530522041177</v>
      </c>
      <c r="Q21" s="188">
        <v>0</v>
      </c>
      <c r="R21" s="187">
        <f t="shared" si="11"/>
        <v>-1382.7084444751838</v>
      </c>
      <c r="S21" s="187">
        <f>R21+'Analysis (Nothing)'!D8</f>
        <v>-277.77996099937764</v>
      </c>
      <c r="T21" s="187">
        <v>0</v>
      </c>
      <c r="U21" s="187">
        <f>V20*Configurations!$C$72</f>
        <v>3251.556</v>
      </c>
      <c r="V21" s="187">
        <f t="shared" si="15"/>
        <v>7586.9639999999999</v>
      </c>
      <c r="W21" s="187">
        <v>0</v>
      </c>
      <c r="X21" s="187">
        <f>Y20*Configurations!$D$72</f>
        <v>254.85839999999999</v>
      </c>
      <c r="Y21" s="187">
        <f t="shared" si="16"/>
        <v>2293.7255999999998</v>
      </c>
      <c r="Z21" s="188">
        <v>0</v>
      </c>
      <c r="AA21" s="187">
        <f>AB20*Configurations!$E$72</f>
        <v>667.69920000000002</v>
      </c>
      <c r="AB21" s="187">
        <f t="shared" si="17"/>
        <v>2670.7968000000001</v>
      </c>
      <c r="AC21" s="188">
        <f t="shared" si="18"/>
        <v>0</v>
      </c>
      <c r="AD21" s="187">
        <f>AC21*Constants!$D$23</f>
        <v>0</v>
      </c>
      <c r="AE21" s="187">
        <f t="shared" si="12"/>
        <v>-277.77996099937764</v>
      </c>
      <c r="AF21" s="189">
        <f>AE21*(1+Constants!$D$20)^-H21</f>
        <v>-261.75826133932054</v>
      </c>
    </row>
    <row r="22" spans="2:35" x14ac:dyDescent="0.3">
      <c r="B22" s="287"/>
      <c r="C22" s="162" t="s">
        <v>257</v>
      </c>
      <c r="D22" s="162" t="s">
        <v>259</v>
      </c>
      <c r="H22" s="172">
        <v>4</v>
      </c>
      <c r="I22" s="186">
        <f>I21*(1-Constants!$D$11)</f>
        <v>0.98014950062500006</v>
      </c>
      <c r="J22" s="173">
        <f t="shared" si="13"/>
        <v>1137.1159328371132</v>
      </c>
      <c r="K22" s="173">
        <f t="shared" si="14"/>
        <v>11434.640505284273</v>
      </c>
      <c r="L22" s="187">
        <f>IF(J22*'Grid Power'!K21&lt;0,0,J22*'Grid Power'!K21)</f>
        <v>158.28446575431599</v>
      </c>
      <c r="M22" s="188">
        <f>IF($C$20=5,Configurations!$F$58,IF('Analysis (C)'!$C$20=15,Configurations!$F$59,0))</f>
        <v>2323.7759771349743</v>
      </c>
      <c r="N22" s="188">
        <f>N21*(1+Constants!$D$20)</f>
        <v>106.1208</v>
      </c>
      <c r="O22" s="188">
        <v>0</v>
      </c>
      <c r="P22" s="188">
        <f>K22*'Grid Power'!L21</f>
        <v>1201.6720298125281</v>
      </c>
      <c r="Q22" s="188">
        <v>0</v>
      </c>
      <c r="R22" s="187">
        <f t="shared" si="11"/>
        <v>-1386.5092130767623</v>
      </c>
      <c r="S22" s="187">
        <f>R22+'Analysis (Nothing)'!D9</f>
        <v>-231.15876973050376</v>
      </c>
      <c r="T22" s="187">
        <v>0</v>
      </c>
      <c r="U22" s="187">
        <f>V21*Configurations!$C$72</f>
        <v>2276.0891999999999</v>
      </c>
      <c r="V22" s="187">
        <f t="shared" si="15"/>
        <v>5310.8747999999996</v>
      </c>
      <c r="W22" s="187">
        <v>0</v>
      </c>
      <c r="X22" s="187">
        <f>Y21*Configurations!$D$72</f>
        <v>229.37255999999999</v>
      </c>
      <c r="Y22" s="187">
        <f t="shared" si="16"/>
        <v>2064.35304</v>
      </c>
      <c r="Z22" s="188">
        <v>0</v>
      </c>
      <c r="AA22" s="187">
        <f>AB21*Configurations!$E$72</f>
        <v>534.15935999999999</v>
      </c>
      <c r="AB22" s="187">
        <f t="shared" si="17"/>
        <v>2136.63744</v>
      </c>
      <c r="AC22" s="188">
        <f t="shared" si="18"/>
        <v>0</v>
      </c>
      <c r="AD22" s="187">
        <f>AC22*Constants!$D$23</f>
        <v>0</v>
      </c>
      <c r="AE22" s="187">
        <f t="shared" si="12"/>
        <v>-231.15876973050376</v>
      </c>
      <c r="AF22" s="189">
        <f>AE22*(1+Constants!$D$20)^-H22</f>
        <v>-213.55497210144213</v>
      </c>
    </row>
    <row r="23" spans="2:35" x14ac:dyDescent="0.3">
      <c r="B23" s="287"/>
      <c r="C23" s="162" t="s">
        <v>258</v>
      </c>
      <c r="D23" s="162" t="s">
        <v>260</v>
      </c>
      <c r="H23" s="172">
        <v>5</v>
      </c>
      <c r="I23" s="186">
        <f>I22*(1-Constants!$D$11)</f>
        <v>0.97524875312187509</v>
      </c>
      <c r="J23" s="173">
        <f t="shared" si="13"/>
        <v>1142.5801828149581</v>
      </c>
      <c r="K23" s="173">
        <f t="shared" si="14"/>
        <v>11377.467302757852</v>
      </c>
      <c r="L23" s="187">
        <f>IF(J23*'Grid Power'!K22&lt;0,0,J23*'Grid Power'!K22)</f>
        <v>166.32218337402776</v>
      </c>
      <c r="M23" s="188">
        <f>IF($C$20=5,Configurations!$F$58,IF('Analysis (C)'!$C$20=15,Configurations!$F$59,0))</f>
        <v>2323.7759771349743</v>
      </c>
      <c r="N23" s="188">
        <f>N22*(1+Constants!$D$20)</f>
        <v>108.243216</v>
      </c>
      <c r="O23" s="188">
        <v>0</v>
      </c>
      <c r="P23" s="188">
        <f>K23*'Grid Power'!L22</f>
        <v>1207.6203063601001</v>
      </c>
      <c r="Q23" s="188">
        <v>0</v>
      </c>
      <c r="R23" s="187">
        <f t="shared" si="11"/>
        <v>-1390.7210701489016</v>
      </c>
      <c r="S23" s="187">
        <f>R23+'Analysis (Nothing)'!D10</f>
        <v>-182.50759362010763</v>
      </c>
      <c r="T23" s="187">
        <v>0</v>
      </c>
      <c r="U23" s="187">
        <f>V22*Configurations!$C$72</f>
        <v>1593.2624399999997</v>
      </c>
      <c r="V23" s="187">
        <f t="shared" si="15"/>
        <v>3717.6123600000001</v>
      </c>
      <c r="W23" s="187">
        <v>0</v>
      </c>
      <c r="X23" s="187">
        <f>Y22*Configurations!$D$72</f>
        <v>206.435304</v>
      </c>
      <c r="Y23" s="187">
        <f t="shared" si="16"/>
        <v>1857.9177359999999</v>
      </c>
      <c r="Z23" s="188">
        <v>0</v>
      </c>
      <c r="AA23" s="187">
        <f>AB22*Configurations!$E$72</f>
        <v>427.32748800000002</v>
      </c>
      <c r="AB23" s="187">
        <f t="shared" si="17"/>
        <v>1709.3099520000001</v>
      </c>
      <c r="AC23" s="188">
        <f t="shared" si="18"/>
        <v>0</v>
      </c>
      <c r="AD23" s="187">
        <f>AC23*Constants!$D$23</f>
        <v>0</v>
      </c>
      <c r="AE23" s="187">
        <f t="shared" si="12"/>
        <v>-182.50759362010763</v>
      </c>
      <c r="AF23" s="189">
        <f>AE23*(1+Constants!$D$20)^-H23</f>
        <v>-165.30275056964928</v>
      </c>
    </row>
    <row r="24" spans="2:35" x14ac:dyDescent="0.3">
      <c r="H24" s="172">
        <v>6</v>
      </c>
      <c r="I24" s="186">
        <f>I23*(1-Constants!$D$11)</f>
        <v>0.97037250935626573</v>
      </c>
      <c r="J24" s="173">
        <f t="shared" si="13"/>
        <v>1148.0171115429141</v>
      </c>
      <c r="K24" s="173">
        <f t="shared" si="14"/>
        <v>11320.579966244062</v>
      </c>
      <c r="L24" s="187">
        <f>IF(J24*'Grid Power'!K23&lt;0,0,J24*'Grid Power'!K23)</f>
        <v>174.77981232949656</v>
      </c>
      <c r="M24" s="188">
        <f>IF($C$20=15,Configurations!$F$59,0)</f>
        <v>2323.7759771349743</v>
      </c>
      <c r="N24" s="188">
        <f>N23*(1+Constants!$D$20)</f>
        <v>110.40808032000001</v>
      </c>
      <c r="O24" s="188">
        <v>0</v>
      </c>
      <c r="P24" s="188">
        <f>K24*'Grid Power'!L23</f>
        <v>1213.5980268765827</v>
      </c>
      <c r="Q24" s="188">
        <v>0</v>
      </c>
      <c r="R24" s="187">
        <f t="shared" si="11"/>
        <v>-1395.365842907888</v>
      </c>
      <c r="S24" s="187">
        <f>R24+'Analysis (Nothing)'!D11</f>
        <v>-131.72663497166809</v>
      </c>
      <c r="T24" s="187">
        <v>0</v>
      </c>
      <c r="U24" s="187">
        <f>V23*Configurations!$C$72</f>
        <v>1115.2837079999999</v>
      </c>
      <c r="V24" s="187">
        <f t="shared" si="15"/>
        <v>2602.3286520000001</v>
      </c>
      <c r="W24" s="187">
        <v>0</v>
      </c>
      <c r="X24" s="187">
        <f>Y23*Configurations!$D$72</f>
        <v>185.7917736</v>
      </c>
      <c r="Y24" s="187">
        <f t="shared" si="16"/>
        <v>1672.1259623999999</v>
      </c>
      <c r="Z24" s="188">
        <v>0</v>
      </c>
      <c r="AA24" s="187">
        <f>AB23*Configurations!$E$72</f>
        <v>341.86199040000002</v>
      </c>
      <c r="AB24" s="187">
        <f t="shared" si="17"/>
        <v>1367.4479616000001</v>
      </c>
      <c r="AC24" s="188">
        <f t="shared" si="18"/>
        <v>0</v>
      </c>
      <c r="AD24" s="187">
        <f>AC24*Constants!$D$23</f>
        <v>0</v>
      </c>
      <c r="AE24" s="187">
        <f t="shared" si="12"/>
        <v>-131.72663497166809</v>
      </c>
      <c r="AF24" s="189">
        <f>AE24*(1+Constants!$D$20)^-H24</f>
        <v>-116.96948212652809</v>
      </c>
    </row>
    <row r="25" spans="2:35" x14ac:dyDescent="0.3">
      <c r="H25" s="172">
        <v>7</v>
      </c>
      <c r="I25" s="186">
        <f>I24*(1-Constants!$D$11)</f>
        <v>0.96552064680948435</v>
      </c>
      <c r="J25" s="173">
        <f t="shared" si="13"/>
        <v>1153.4268556272302</v>
      </c>
      <c r="K25" s="173">
        <f t="shared" si="14"/>
        <v>11263.977066412841</v>
      </c>
      <c r="L25" s="187">
        <f>IF(J25*'Grid Power'!K24&lt;0,0,J25*'Grid Power'!K24)</f>
        <v>183.67961810858574</v>
      </c>
      <c r="M25" s="188">
        <f>IF($C$20=15,Configurations!$F$59,0)</f>
        <v>2323.7759771349743</v>
      </c>
      <c r="N25" s="188">
        <f>N24*(1+Constants!$D$20)</f>
        <v>112.61624192640001</v>
      </c>
      <c r="O25" s="188">
        <v>0</v>
      </c>
      <c r="P25" s="188">
        <f>K25*'Grid Power'!L24</f>
        <v>1219.6053371096216</v>
      </c>
      <c r="Q25" s="188">
        <v>0</v>
      </c>
      <c r="R25" s="187">
        <f t="shared" si="11"/>
        <v>-1400.4665000603384</v>
      </c>
      <c r="S25" s="187">
        <f>R25+'Analysis (Nothing)'!D12</f>
        <v>-78.711097844615551</v>
      </c>
      <c r="T25" s="187">
        <v>0</v>
      </c>
      <c r="U25" s="187">
        <f>V24*Configurations!$C$72</f>
        <v>780.69859559999998</v>
      </c>
      <c r="V25" s="187">
        <f t="shared" si="15"/>
        <v>1821.6300564000003</v>
      </c>
      <c r="W25" s="187">
        <v>0</v>
      </c>
      <c r="X25" s="187">
        <f>Y24*Configurations!$D$72</f>
        <v>167.21259624000001</v>
      </c>
      <c r="Y25" s="187">
        <f t="shared" si="16"/>
        <v>1504.9133661599999</v>
      </c>
      <c r="Z25" s="188">
        <v>0</v>
      </c>
      <c r="AA25" s="187">
        <f>AB24*Configurations!$E$72</f>
        <v>273.48959232000004</v>
      </c>
      <c r="AB25" s="187">
        <f t="shared" si="17"/>
        <v>1093.9583692800002</v>
      </c>
      <c r="AC25" s="188">
        <f t="shared" si="18"/>
        <v>0</v>
      </c>
      <c r="AD25" s="187">
        <f>AC25*Constants!$D$23</f>
        <v>0</v>
      </c>
      <c r="AE25" s="187">
        <f t="shared" si="12"/>
        <v>-78.711097844615551</v>
      </c>
      <c r="AF25" s="189">
        <f>AE25*(1+Constants!$D$20)^-H25</f>
        <v>-68.522747398505771</v>
      </c>
    </row>
    <row r="26" spans="2:35" x14ac:dyDescent="0.3">
      <c r="H26" s="172">
        <v>8</v>
      </c>
      <c r="I26" s="186">
        <f>I25*(1-Constants!$D$11)</f>
        <v>0.96069304357543694</v>
      </c>
      <c r="J26" s="173">
        <f t="shared" si="13"/>
        <v>1158.8095509911245</v>
      </c>
      <c r="K26" s="173">
        <f t="shared" si="14"/>
        <v>11207.657181080778</v>
      </c>
      <c r="L26" s="187">
        <f>IF(J26*'Grid Power'!K25&lt;0,0,J26*'Grid Power'!K25)</f>
        <v>193.04505160859563</v>
      </c>
      <c r="M26" s="188">
        <f>IF($C$20=15,Configurations!$F$59,0)</f>
        <v>2323.7759771349743</v>
      </c>
      <c r="N26" s="188">
        <f>N25*(1+Constants!$D$20)</f>
        <v>114.868566764928</v>
      </c>
      <c r="O26" s="188">
        <v>0</v>
      </c>
      <c r="P26" s="188">
        <f>K26*'Grid Power'!L25</f>
        <v>1225.6423835283144</v>
      </c>
      <c r="Q26" s="188">
        <v>0</v>
      </c>
      <c r="R26" s="187">
        <f t="shared" si="11"/>
        <v>-1406.0472119801834</v>
      </c>
      <c r="S26" s="187">
        <f>R26+'Analysis (Nothing)'!D13</f>
        <v>-23.350936493858626</v>
      </c>
      <c r="T26" s="187">
        <v>0</v>
      </c>
      <c r="U26" s="187">
        <f>V25*Configurations!$C$72</f>
        <v>546.48901692000004</v>
      </c>
      <c r="V26" s="187">
        <f t="shared" si="15"/>
        <v>1275.1410394800002</v>
      </c>
      <c r="W26" s="187">
        <v>0</v>
      </c>
      <c r="X26" s="187">
        <f>Y25*Configurations!$D$72</f>
        <v>150.49133661599998</v>
      </c>
      <c r="Y26" s="187">
        <f t="shared" si="16"/>
        <v>1354.422029544</v>
      </c>
      <c r="Z26" s="188">
        <v>0</v>
      </c>
      <c r="AA26" s="187">
        <f>AB25*Configurations!$E$72</f>
        <v>218.79167385600005</v>
      </c>
      <c r="AB26" s="187">
        <f t="shared" si="17"/>
        <v>875.16669542400018</v>
      </c>
      <c r="AC26" s="188">
        <f t="shared" si="18"/>
        <v>0</v>
      </c>
      <c r="AD26" s="187">
        <f>AC26*Constants!$D$23</f>
        <v>0</v>
      </c>
      <c r="AE26" s="187">
        <f t="shared" si="12"/>
        <v>-23.350936493858626</v>
      </c>
      <c r="AF26" s="189">
        <f>AE26*(1+Constants!$D$20)^-H26</f>
        <v>-19.929799455780124</v>
      </c>
    </row>
    <row r="27" spans="2:35" x14ac:dyDescent="0.3">
      <c r="H27" s="172">
        <v>9</v>
      </c>
      <c r="I27" s="186">
        <f>I26*(1-Constants!$D$11)</f>
        <v>0.95588957835755972</v>
      </c>
      <c r="J27" s="173">
        <f t="shared" si="13"/>
        <v>1164.1653328781999</v>
      </c>
      <c r="K27" s="173">
        <f t="shared" si="14"/>
        <v>11151.618895175374</v>
      </c>
      <c r="L27" s="187">
        <f>IF(J27*'Grid Power'!K26&lt;0,0,J27*'Grid Power'!K26)</f>
        <v>202.90081215459264</v>
      </c>
      <c r="M27" s="188">
        <f>IF($C$20=15,Configurations!$F$59,0)</f>
        <v>2323.7759771349743</v>
      </c>
      <c r="N27" s="188">
        <f>N26*(1+Constants!$D$20)</f>
        <v>117.16593810022657</v>
      </c>
      <c r="O27" s="188">
        <v>0</v>
      </c>
      <c r="P27" s="188">
        <f>K27*'Grid Power'!L26</f>
        <v>1231.7093133267795</v>
      </c>
      <c r="Q27" s="188">
        <v>0</v>
      </c>
      <c r="R27" s="187">
        <f t="shared" si="11"/>
        <v>-1412.1334140630138</v>
      </c>
      <c r="S27" s="187">
        <f>R27+'Analysis (Nothing)'!D14</f>
        <v>34.469408881381241</v>
      </c>
      <c r="T27" s="187">
        <v>0</v>
      </c>
      <c r="U27" s="187">
        <f>V26*Configurations!$C$72</f>
        <v>382.54231184400004</v>
      </c>
      <c r="V27" s="187">
        <f t="shared" si="15"/>
        <v>892.59872763600015</v>
      </c>
      <c r="W27" s="187">
        <v>0</v>
      </c>
      <c r="X27" s="187">
        <f>Y26*Configurations!$D$72</f>
        <v>135.44220295440002</v>
      </c>
      <c r="Y27" s="187">
        <f t="shared" si="16"/>
        <v>1218.9798265896</v>
      </c>
      <c r="Z27" s="188">
        <v>0</v>
      </c>
      <c r="AA27" s="187">
        <f>AB26*Configurations!$E$72</f>
        <v>175.03333908480005</v>
      </c>
      <c r="AB27" s="187">
        <f t="shared" si="17"/>
        <v>700.13335633920019</v>
      </c>
      <c r="AC27" s="188">
        <f t="shared" si="18"/>
        <v>0</v>
      </c>
      <c r="AD27" s="187">
        <f>AC27*Constants!$D$23</f>
        <v>0</v>
      </c>
      <c r="AE27" s="187">
        <f t="shared" si="12"/>
        <v>34.469408881381241</v>
      </c>
      <c r="AF27" s="189">
        <f>AE27*(1+Constants!$D$20)^-H27</f>
        <v>28.842459393013534</v>
      </c>
    </row>
    <row r="28" spans="2:35" x14ac:dyDescent="0.3">
      <c r="H28" s="172">
        <v>10</v>
      </c>
      <c r="I28" s="186">
        <f>I27*(1-Constants!$D$11)</f>
        <v>0.95111013046577186</v>
      </c>
      <c r="J28" s="173">
        <f t="shared" si="13"/>
        <v>1169.4943358558396</v>
      </c>
      <c r="K28" s="173">
        <f t="shared" si="14"/>
        <v>11095.860800699495</v>
      </c>
      <c r="L28" s="187">
        <f>IF(J28*'Grid Power'!K27&lt;0,0,J28*'Grid Power'!K27)</f>
        <v>213.2729138557431</v>
      </c>
      <c r="M28" s="188">
        <f>IF($C$20=15,Configurations!$F$59,0)</f>
        <v>2323.7759771349743</v>
      </c>
      <c r="N28" s="188">
        <f>N27*(1+Constants!$D$20)</f>
        <v>119.5092568622311</v>
      </c>
      <c r="O28" s="188">
        <f>Configurations!$D$63+Configurations!$D$65</f>
        <v>11260.8</v>
      </c>
      <c r="P28" s="188">
        <f>K28*'Grid Power'!L27</f>
        <v>1237.8062744277468</v>
      </c>
      <c r="Q28" s="188">
        <v>0</v>
      </c>
      <c r="R28" s="187">
        <f t="shared" si="11"/>
        <v>-12679.551873425202</v>
      </c>
      <c r="S28" s="187">
        <f>R28+'Analysis (Nothing)'!D15</f>
        <v>-11165.928710279393</v>
      </c>
      <c r="T28" s="187">
        <f>Configurations!$D$63/2</f>
        <v>3312</v>
      </c>
      <c r="U28" s="187">
        <f>V27*Configurations!$C$72</f>
        <v>267.77961829080004</v>
      </c>
      <c r="V28" s="187">
        <f t="shared" si="15"/>
        <v>3936.8191093452001</v>
      </c>
      <c r="W28" s="187">
        <v>0</v>
      </c>
      <c r="X28" s="187">
        <f>Y27*Configurations!$D$72</f>
        <v>121.89798265896</v>
      </c>
      <c r="Y28" s="187">
        <f t="shared" si="16"/>
        <v>1097.0818439306399</v>
      </c>
      <c r="Z28" s="188">
        <f>Configurations!$D$65/2</f>
        <v>2318.4</v>
      </c>
      <c r="AA28" s="187">
        <f>AB27*Configurations!$E$72</f>
        <v>140.02667126784004</v>
      </c>
      <c r="AB28" s="187">
        <f t="shared" si="17"/>
        <v>2878.5066850713606</v>
      </c>
      <c r="AC28" s="188">
        <f t="shared" si="18"/>
        <v>0</v>
      </c>
      <c r="AD28" s="187">
        <f>AC28*Constants!$D$23</f>
        <v>0</v>
      </c>
      <c r="AE28" s="187">
        <f t="shared" si="12"/>
        <v>-11165.928710279393</v>
      </c>
      <c r="AF28" s="189">
        <f>AE28*(1+Constants!$D$20)^-H28</f>
        <v>-9159.9506340048865</v>
      </c>
    </row>
    <row r="29" spans="2:35" x14ac:dyDescent="0.3">
      <c r="H29" s="172">
        <v>11</v>
      </c>
      <c r="I29" s="186">
        <f>I28*(1-Constants!$D$11)</f>
        <v>0.94635457981344295</v>
      </c>
      <c r="J29" s="173">
        <f t="shared" si="13"/>
        <v>1174.7966938185909</v>
      </c>
      <c r="K29" s="173">
        <f t="shared" si="14"/>
        <v>11040.381496695998</v>
      </c>
      <c r="L29" s="187">
        <f>IF(J29*'Grid Power'!K28&lt;0,0,J29*'Grid Power'!K28)</f>
        <v>224.18875547573103</v>
      </c>
      <c r="M29" s="188">
        <f>IF($C$20=15,Configurations!$F$59,0)</f>
        <v>2323.7759771349743</v>
      </c>
      <c r="N29" s="188">
        <f>N28*(1+Constants!$D$20)</f>
        <v>121.89944199947573</v>
      </c>
      <c r="O29" s="188">
        <v>0</v>
      </c>
      <c r="P29" s="188">
        <f>K29*'Grid Power'!L28</f>
        <v>1243.9334154861642</v>
      </c>
      <c r="Q29" s="188">
        <v>0</v>
      </c>
      <c r="R29" s="187">
        <f t="shared" si="11"/>
        <v>-1425.9307591240165</v>
      </c>
      <c r="S29" s="187">
        <f>R29+'Analysis (Nothing)'!D16</f>
        <v>157.98214069056462</v>
      </c>
      <c r="T29" s="187">
        <f>Configurations!$D$63/2</f>
        <v>3312</v>
      </c>
      <c r="U29" s="187">
        <f>V28*Configurations!$C$72</f>
        <v>1181.04573280356</v>
      </c>
      <c r="V29" s="187">
        <f t="shared" si="15"/>
        <v>6067.7733765416406</v>
      </c>
      <c r="W29" s="187">
        <v>0</v>
      </c>
      <c r="X29" s="187">
        <f>Y28*Configurations!$D$72</f>
        <v>109.708184393064</v>
      </c>
      <c r="Y29" s="187">
        <f t="shared" si="16"/>
        <v>987.37365953757592</v>
      </c>
      <c r="Z29" s="188">
        <f>Configurations!$D$65/2</f>
        <v>2318.4</v>
      </c>
      <c r="AA29" s="187">
        <f>AB28*Configurations!$E$72</f>
        <v>575.7013370142721</v>
      </c>
      <c r="AB29" s="187">
        <f t="shared" si="17"/>
        <v>4621.2053480570885</v>
      </c>
      <c r="AC29" s="188">
        <f t="shared" si="18"/>
        <v>0</v>
      </c>
      <c r="AD29" s="187">
        <f>AC29*Constants!$D$23</f>
        <v>0</v>
      </c>
      <c r="AE29" s="187">
        <f t="shared" si="12"/>
        <v>157.98214069056462</v>
      </c>
      <c r="AF29" s="189">
        <f>AE29*(1+Constants!$D$20)^-H29</f>
        <v>127.05919659425716</v>
      </c>
    </row>
    <row r="30" spans="2:35" x14ac:dyDescent="0.3">
      <c r="H30" s="172">
        <v>12</v>
      </c>
      <c r="I30" s="186">
        <f>I29*(1-Constants!$D$11)</f>
        <v>0.94162280691437572</v>
      </c>
      <c r="J30" s="173">
        <f t="shared" si="13"/>
        <v>1180.0725399915289</v>
      </c>
      <c r="K30" s="173">
        <f t="shared" si="14"/>
        <v>10985.179589212517</v>
      </c>
      <c r="L30" s="187">
        <f>IF(J30*'Grid Power'!K29&lt;0,0,J30*'Grid Power'!K29)</f>
        <v>235.67719400258383</v>
      </c>
      <c r="M30" s="188">
        <f>IF($C$20=15,Configurations!$F$59,0)</f>
        <v>2323.7759771349743</v>
      </c>
      <c r="N30" s="188">
        <f>N29*(1+Constants!$D$20)</f>
        <v>124.33743083946524</v>
      </c>
      <c r="O30" s="188">
        <v>0</v>
      </c>
      <c r="P30" s="188">
        <f>K30*'Grid Power'!L29</f>
        <v>1250.0908858928208</v>
      </c>
      <c r="Q30" s="188">
        <v>0</v>
      </c>
      <c r="R30" s="187">
        <f t="shared" si="11"/>
        <v>-1433.6997160842027</v>
      </c>
      <c r="S30" s="187">
        <f>R30+'Analysis (Nothing)'!D17</f>
        <v>223.93578598692261</v>
      </c>
      <c r="T30" s="187">
        <v>0</v>
      </c>
      <c r="U30" s="187">
        <f>V29*Configurations!$C$72</f>
        <v>1820.3320129624922</v>
      </c>
      <c r="V30" s="187">
        <f t="shared" si="15"/>
        <v>4247.4413635791479</v>
      </c>
      <c r="W30" s="187">
        <v>0</v>
      </c>
      <c r="X30" s="187">
        <f>Y29*Configurations!$D$72</f>
        <v>98.737365953757603</v>
      </c>
      <c r="Y30" s="187">
        <f t="shared" si="16"/>
        <v>888.63629358381831</v>
      </c>
      <c r="Z30" s="188">
        <v>0</v>
      </c>
      <c r="AA30" s="187">
        <f>AB29*Configurations!$E$72</f>
        <v>924.24106961141774</v>
      </c>
      <c r="AB30" s="187">
        <f t="shared" si="17"/>
        <v>3696.964278445671</v>
      </c>
      <c r="AC30" s="188">
        <f t="shared" si="18"/>
        <v>0</v>
      </c>
      <c r="AD30" s="187">
        <f>AC30*Constants!$D$23</f>
        <v>0</v>
      </c>
      <c r="AE30" s="187">
        <f t="shared" si="12"/>
        <v>223.93578598692261</v>
      </c>
      <c r="AF30" s="189">
        <f>AE30*(1+Constants!$D$20)^-H30</f>
        <v>176.5718390192028</v>
      </c>
    </row>
    <row r="31" spans="2:35" x14ac:dyDescent="0.3">
      <c r="H31" s="172">
        <v>13</v>
      </c>
      <c r="I31" s="186">
        <f>I30*(1-Constants!$D$11)</f>
        <v>0.93691469287980389</v>
      </c>
      <c r="J31" s="173">
        <f t="shared" si="13"/>
        <v>1185.3220069336016</v>
      </c>
      <c r="K31" s="173">
        <f t="shared" si="14"/>
        <v>10930.253691266455</v>
      </c>
      <c r="L31" s="187">
        <f>IF(J31*'Grid Power'!K30&lt;0,0,J31*'Grid Power'!K30)</f>
        <v>247.76862211296788</v>
      </c>
      <c r="M31" s="188">
        <f>IF($C$20=15,Configurations!$F$59,0)</f>
        <v>2323.7759771349743</v>
      </c>
      <c r="N31" s="188">
        <f>N30*(1+Constants!$D$20)</f>
        <v>126.82417945625456</v>
      </c>
      <c r="O31" s="188">
        <v>0</v>
      </c>
      <c r="P31" s="188">
        <f>K31*'Grid Power'!L30</f>
        <v>1256.2788357779903</v>
      </c>
      <c r="Q31" s="188">
        <v>0</v>
      </c>
      <c r="R31" s="187">
        <f t="shared" si="11"/>
        <v>-1442.0899429262065</v>
      </c>
      <c r="S31" s="187">
        <f>R31+'Analysis (Nothing)'!D18</f>
        <v>292.87276109259847</v>
      </c>
      <c r="T31" s="187">
        <v>0</v>
      </c>
      <c r="U31" s="187">
        <f>V30*Configurations!$C$72</f>
        <v>1274.2324090737443</v>
      </c>
      <c r="V31" s="187">
        <f t="shared" si="15"/>
        <v>2973.2089545054037</v>
      </c>
      <c r="W31" s="187">
        <v>0</v>
      </c>
      <c r="X31" s="187">
        <f>Y30*Configurations!$D$72</f>
        <v>88.863629358381843</v>
      </c>
      <c r="Y31" s="187">
        <f t="shared" si="16"/>
        <v>799.77266422543653</v>
      </c>
      <c r="Z31" s="188">
        <v>0</v>
      </c>
      <c r="AA31" s="187">
        <f>AB30*Configurations!$E$72</f>
        <v>739.39285568913419</v>
      </c>
      <c r="AB31" s="187">
        <f t="shared" si="17"/>
        <v>2957.5714227565368</v>
      </c>
      <c r="AC31" s="188">
        <f t="shared" si="18"/>
        <v>0</v>
      </c>
      <c r="AD31" s="187">
        <f>AC31*Constants!$D$23</f>
        <v>0</v>
      </c>
      <c r="AE31" s="187">
        <f t="shared" si="12"/>
        <v>292.87276109259847</v>
      </c>
      <c r="AF31" s="189">
        <f>AE31*(1+Constants!$D$20)^-H31</f>
        <v>226.40017003457919</v>
      </c>
    </row>
    <row r="32" spans="2:35" x14ac:dyDescent="0.3">
      <c r="H32" s="172">
        <v>14</v>
      </c>
      <c r="I32" s="186">
        <f>I31*(1-Constants!$D$11)</f>
        <v>0.9322301194154049</v>
      </c>
      <c r="J32" s="173">
        <f t="shared" si="13"/>
        <v>1190.5452265409644</v>
      </c>
      <c r="K32" s="173">
        <f t="shared" si="14"/>
        <v>10875.602422810123</v>
      </c>
      <c r="L32" s="187">
        <f>IF(J32*'Grid Power'!K31&lt;0,0,J32*'Grid Power'!K31)</f>
        <v>260.49504973626256</v>
      </c>
      <c r="M32" s="188">
        <f>IF($C$20=15,Configurations!$F$59,0)</f>
        <v>2323.7759771349743</v>
      </c>
      <c r="N32" s="188">
        <f>N31*(1+Constants!$D$20)</f>
        <v>129.36066304537965</v>
      </c>
      <c r="O32" s="188">
        <v>0</v>
      </c>
      <c r="P32" s="188">
        <f>K32*'Grid Power'!L31</f>
        <v>1262.4974160150914</v>
      </c>
      <c r="Q32" s="188">
        <v>0</v>
      </c>
      <c r="R32" s="187">
        <f t="shared" si="11"/>
        <v>-1451.1342739015249</v>
      </c>
      <c r="S32" s="187">
        <f>R32+'Analysis (Nothing)'!D19</f>
        <v>364.94065077381629</v>
      </c>
      <c r="T32" s="187">
        <v>0</v>
      </c>
      <c r="U32" s="187">
        <f>V31*Configurations!$C$72</f>
        <v>891.96268635162107</v>
      </c>
      <c r="V32" s="187">
        <f t="shared" si="15"/>
        <v>2081.2462681537827</v>
      </c>
      <c r="W32" s="187">
        <v>0</v>
      </c>
      <c r="X32" s="187">
        <f>Y31*Configurations!$D$72</f>
        <v>79.977266422543664</v>
      </c>
      <c r="Y32" s="187">
        <f t="shared" si="16"/>
        <v>719.79539780289292</v>
      </c>
      <c r="Z32" s="188">
        <v>0</v>
      </c>
      <c r="AA32" s="187">
        <f>AB31*Configurations!$E$72</f>
        <v>591.51428455130736</v>
      </c>
      <c r="AB32" s="187">
        <f t="shared" si="17"/>
        <v>2366.0571382052294</v>
      </c>
      <c r="AC32" s="188">
        <f t="shared" si="18"/>
        <v>0</v>
      </c>
      <c r="AD32" s="187">
        <f>AC32*Constants!$D$23</f>
        <v>0</v>
      </c>
      <c r="AE32" s="187">
        <f t="shared" si="12"/>
        <v>364.94065077381629</v>
      </c>
      <c r="AF32" s="189">
        <f>AE32*(1+Constants!$D$20)^-H32</f>
        <v>276.57940467847237</v>
      </c>
    </row>
    <row r="33" spans="8:35" x14ac:dyDescent="0.3">
      <c r="H33" s="172">
        <v>15</v>
      </c>
      <c r="I33" s="186">
        <f>I32*(1-Constants!$D$11)</f>
        <v>0.92756896881832784</v>
      </c>
      <c r="J33" s="173">
        <f t="shared" si="13"/>
        <v>1195.7423300502903</v>
      </c>
      <c r="K33" s="173">
        <f t="shared" si="14"/>
        <v>10821.224410696072</v>
      </c>
      <c r="L33" s="187">
        <f>IF(J33*'Grid Power'!K32&lt;0,0,J33*'Grid Power'!K32)</f>
        <v>273.89018993449548</v>
      </c>
      <c r="M33" s="188">
        <f>IF($C$20=15,Configurations!$F$59,0)</f>
        <v>2323.7759771349743</v>
      </c>
      <c r="N33" s="188">
        <f>N32*(1+Constants!$D$20)</f>
        <v>131.94787630628724</v>
      </c>
      <c r="O33" s="188">
        <v>0</v>
      </c>
      <c r="P33" s="188">
        <f>K33*'Grid Power'!L32</f>
        <v>1268.7467782243659</v>
      </c>
      <c r="Q33" s="188">
        <v>0</v>
      </c>
      <c r="R33" s="187">
        <f t="shared" si="11"/>
        <v>-1460.8672651513909</v>
      </c>
      <c r="S33" s="187">
        <f>R33+'Analysis (Nothing)'!D20</f>
        <v>440.29444413450506</v>
      </c>
      <c r="T33" s="187">
        <v>0</v>
      </c>
      <c r="U33" s="187">
        <f>V32*Configurations!$C$72</f>
        <v>624.37388044613476</v>
      </c>
      <c r="V33" s="187">
        <f t="shared" si="15"/>
        <v>1456.8723877076479</v>
      </c>
      <c r="W33" s="187">
        <v>0</v>
      </c>
      <c r="X33" s="187">
        <f>Y32*Configurations!$D$72</f>
        <v>71.979539780289301</v>
      </c>
      <c r="Y33" s="187">
        <f t="shared" si="16"/>
        <v>647.81585802260361</v>
      </c>
      <c r="Z33" s="188">
        <v>0</v>
      </c>
      <c r="AA33" s="187">
        <f>AB32*Configurations!$E$72</f>
        <v>473.21142764104593</v>
      </c>
      <c r="AB33" s="187">
        <f t="shared" si="17"/>
        <v>1892.8457105641835</v>
      </c>
      <c r="AC33" s="188">
        <f t="shared" si="18"/>
        <v>0</v>
      </c>
      <c r="AD33" s="187">
        <f>AC33*Constants!$D$23</f>
        <v>0</v>
      </c>
      <c r="AE33" s="187">
        <f t="shared" si="12"/>
        <v>440.29444413450506</v>
      </c>
      <c r="AF33" s="189">
        <f>AE33*(1+Constants!$D$20)^-H33</f>
        <v>327.14525752404444</v>
      </c>
    </row>
    <row r="34" spans="8:35" x14ac:dyDescent="0.3">
      <c r="H34" s="172">
        <v>16</v>
      </c>
      <c r="I34" s="186">
        <f>I33*(1-Constants!$D$11)</f>
        <v>0.92293112397423616</v>
      </c>
      <c r="J34" s="173">
        <f t="shared" si="13"/>
        <v>1200.9134480420694</v>
      </c>
      <c r="K34" s="173">
        <f t="shared" si="14"/>
        <v>10767.11828864259</v>
      </c>
      <c r="L34" s="187">
        <f>IF(J34*'Grid Power'!K33&lt;0,0,J34*'Grid Power'!K33)</f>
        <v>287.9895493255728</v>
      </c>
      <c r="M34" s="188">
        <v>0</v>
      </c>
      <c r="N34" s="188">
        <f>N33*(1+Constants!$D$20)</f>
        <v>134.58683383241299</v>
      </c>
      <c r="O34" s="188">
        <v>0</v>
      </c>
      <c r="P34" s="188">
        <f>K34*'Grid Power'!L33</f>
        <v>1275.0270747765765</v>
      </c>
      <c r="Q34" s="188">
        <v>0</v>
      </c>
      <c r="R34" s="187">
        <f t="shared" si="11"/>
        <v>852.45069161859067</v>
      </c>
      <c r="S34" s="187">
        <f>R34+'Analysis (Nothing)'!D21</f>
        <v>2842.8728847261254</v>
      </c>
      <c r="T34" s="187">
        <v>0</v>
      </c>
      <c r="U34" s="187">
        <f>V33*Configurations!$C$72</f>
        <v>437.06171631229438</v>
      </c>
      <c r="V34" s="187">
        <f t="shared" si="15"/>
        <v>1019.8106713953536</v>
      </c>
      <c r="W34" s="187">
        <v>0</v>
      </c>
      <c r="X34" s="187">
        <f>Y33*Configurations!$D$72</f>
        <v>64.781585802260366</v>
      </c>
      <c r="Y34" s="187">
        <f t="shared" si="16"/>
        <v>583.03427222034327</v>
      </c>
      <c r="Z34" s="188">
        <v>0</v>
      </c>
      <c r="AA34" s="187">
        <f>AB33*Configurations!$E$72</f>
        <v>378.56914211283674</v>
      </c>
      <c r="AB34" s="187">
        <f t="shared" si="17"/>
        <v>1514.2765684513467</v>
      </c>
      <c r="AC34" s="188">
        <f t="shared" si="18"/>
        <v>1962.460440498734</v>
      </c>
      <c r="AD34" s="187">
        <f>AC34*Constants!$D$23</f>
        <v>196.2460440498734</v>
      </c>
      <c r="AE34" s="187">
        <f t="shared" si="12"/>
        <v>2646.626840676252</v>
      </c>
      <c r="AF34" s="189">
        <f>AE34*(1+Constants!$D$20)^-H34</f>
        <v>1927.9242425543459</v>
      </c>
    </row>
    <row r="35" spans="8:35" x14ac:dyDescent="0.3">
      <c r="H35" s="172">
        <v>17</v>
      </c>
      <c r="I35" s="186">
        <f>I34*(1-Constants!$D$11)</f>
        <v>0.91831646835436498</v>
      </c>
      <c r="J35" s="173">
        <f t="shared" si="13"/>
        <v>1206.0587104438898</v>
      </c>
      <c r="K35" s="173">
        <f t="shared" si="14"/>
        <v>10713.282697199378</v>
      </c>
      <c r="L35" s="187">
        <f>IF(J35*'Grid Power'!K34&lt;0,0,J35*'Grid Power'!K34)</f>
        <v>302.83052328917432</v>
      </c>
      <c r="M35" s="188">
        <v>0</v>
      </c>
      <c r="N35" s="188">
        <f>N34*(1+Constants!$D$20)</f>
        <v>137.27857050906127</v>
      </c>
      <c r="O35" s="188">
        <v>0</v>
      </c>
      <c r="P35" s="188">
        <f>K35*'Grid Power'!L34</f>
        <v>1281.3384587967207</v>
      </c>
      <c r="Q35" s="188">
        <v>0</v>
      </c>
      <c r="R35" s="187">
        <f t="shared" si="11"/>
        <v>841.22936499848515</v>
      </c>
      <c r="S35" s="187">
        <f>R35+'Analysis (Nothing)'!D22</f>
        <v>2925.2949538088205</v>
      </c>
      <c r="T35" s="187">
        <v>0</v>
      </c>
      <c r="U35" s="187">
        <f>V34*Configurations!$C$72</f>
        <v>305.94320141860607</v>
      </c>
      <c r="V35" s="187">
        <f t="shared" si="15"/>
        <v>713.86746997674754</v>
      </c>
      <c r="W35" s="187">
        <v>0</v>
      </c>
      <c r="X35" s="187">
        <f>Y34*Configurations!$D$72</f>
        <v>58.30342722203433</v>
      </c>
      <c r="Y35" s="187">
        <f t="shared" si="16"/>
        <v>524.73084499830895</v>
      </c>
      <c r="Z35" s="188">
        <v>0</v>
      </c>
      <c r="AA35" s="187">
        <f>AB34*Configurations!$E$72</f>
        <v>302.85531369026938</v>
      </c>
      <c r="AB35" s="187">
        <f t="shared" si="17"/>
        <v>1211.4212547610773</v>
      </c>
      <c r="AC35" s="188">
        <f t="shared" si="18"/>
        <v>2258.1930114779111</v>
      </c>
      <c r="AD35" s="187">
        <f>AC35*Constants!$D$23</f>
        <v>225.81930114779112</v>
      </c>
      <c r="AE35" s="187">
        <f t="shared" si="12"/>
        <v>2699.4756526610295</v>
      </c>
      <c r="AF35" s="189">
        <f>AE35*(1+Constants!$D$20)^-H35</f>
        <v>1927.8644494161056</v>
      </c>
      <c r="AG35" s="196"/>
      <c r="AH35" s="196"/>
    </row>
    <row r="36" spans="8:35" x14ac:dyDescent="0.3">
      <c r="H36" s="172">
        <v>18</v>
      </c>
      <c r="I36" s="186">
        <f>I35*(1-Constants!$D$11)</f>
        <v>0.91372488601259316</v>
      </c>
      <c r="J36" s="173">
        <f t="shared" si="13"/>
        <v>1211.1782465337008</v>
      </c>
      <c r="K36" s="173">
        <f t="shared" si="14"/>
        <v>10659.716283713382</v>
      </c>
      <c r="L36" s="187">
        <f>IF(J36*'Grid Power'!K35&lt;0,0,J36*'Grid Power'!K35)</f>
        <v>318.45249620724258</v>
      </c>
      <c r="M36" s="188">
        <v>0</v>
      </c>
      <c r="N36" s="188">
        <f>N35*(1+Constants!$D$20)</f>
        <v>140.02414191924251</v>
      </c>
      <c r="O36" s="188">
        <v>0</v>
      </c>
      <c r="P36" s="188">
        <f>K36*'Grid Power'!L35</f>
        <v>1287.6810841677645</v>
      </c>
      <c r="Q36" s="188">
        <v>0</v>
      </c>
      <c r="R36" s="187">
        <f t="shared" si="11"/>
        <v>829.20444604127943</v>
      </c>
      <c r="S36" s="187">
        <f>R36+'Analysis (Nothing)'!D23</f>
        <v>3011.5161447400524</v>
      </c>
      <c r="T36" s="187">
        <v>0</v>
      </c>
      <c r="U36" s="187">
        <f>V35*Configurations!$C$72</f>
        <v>214.16024099302425</v>
      </c>
      <c r="V36" s="187">
        <f t="shared" si="15"/>
        <v>499.70722898372333</v>
      </c>
      <c r="W36" s="187">
        <v>0</v>
      </c>
      <c r="X36" s="187">
        <f>Y35*Configurations!$D$72</f>
        <v>52.473084499830897</v>
      </c>
      <c r="Y36" s="187">
        <f t="shared" si="16"/>
        <v>472.25776049847804</v>
      </c>
      <c r="Z36" s="188">
        <v>0</v>
      </c>
      <c r="AA36" s="187">
        <f>AB35*Configurations!$E$72</f>
        <v>242.28425095221547</v>
      </c>
      <c r="AB36" s="187">
        <f t="shared" si="17"/>
        <v>969.13700380886189</v>
      </c>
      <c r="AC36" s="188">
        <f t="shared" si="18"/>
        <v>2502.5985682949818</v>
      </c>
      <c r="AD36" s="187">
        <f>AC36*Constants!$D$23</f>
        <v>250.25985682949818</v>
      </c>
      <c r="AE36" s="187">
        <f t="shared" si="12"/>
        <v>2761.2562879105544</v>
      </c>
      <c r="AF36" s="189">
        <f>AE36*(1+Constants!$D$20)^-H36</f>
        <v>1933.319476663351</v>
      </c>
      <c r="AG36" s="196"/>
      <c r="AH36" s="196"/>
    </row>
    <row r="37" spans="8:35" x14ac:dyDescent="0.3">
      <c r="H37" s="172">
        <v>19</v>
      </c>
      <c r="I37" s="186">
        <f>I36*(1-Constants!$D$11)</f>
        <v>0.90915626158253016</v>
      </c>
      <c r="J37" s="173">
        <f t="shared" si="13"/>
        <v>1216.2721849430632</v>
      </c>
      <c r="K37" s="173">
        <f t="shared" si="14"/>
        <v>10606.417702294813</v>
      </c>
      <c r="L37" s="187">
        <f>IF(J37*'Grid Power'!K36&lt;0,0,J37*'Grid Power'!K36)</f>
        <v>334.89694700422132</v>
      </c>
      <c r="M37" s="188">
        <v>0</v>
      </c>
      <c r="N37" s="188">
        <f>N36*(1+Constants!$D$20)</f>
        <v>142.82462475762736</v>
      </c>
      <c r="O37" s="188">
        <v>0</v>
      </c>
      <c r="P37" s="188">
        <f>K37*'Grid Power'!L36</f>
        <v>1294.0551055343947</v>
      </c>
      <c r="Q37" s="188">
        <v>0</v>
      </c>
      <c r="R37" s="187">
        <f t="shared" si="11"/>
        <v>816.33353377254593</v>
      </c>
      <c r="S37" s="187">
        <f>R37+'Analysis (Nothing)'!D24</f>
        <v>3101.7249867909677</v>
      </c>
      <c r="T37" s="187">
        <v>0</v>
      </c>
      <c r="U37" s="187">
        <f>V36*Configurations!$C$72</f>
        <v>149.912168695117</v>
      </c>
      <c r="V37" s="187">
        <f t="shared" si="15"/>
        <v>349.79506028860635</v>
      </c>
      <c r="W37" s="187">
        <v>0</v>
      </c>
      <c r="X37" s="187">
        <f>Y36*Configurations!$D$72</f>
        <v>47.225776049847809</v>
      </c>
      <c r="Y37" s="187">
        <f t="shared" si="16"/>
        <v>425.03198444863023</v>
      </c>
      <c r="Z37" s="188">
        <v>0</v>
      </c>
      <c r="AA37" s="187">
        <f>AB36*Configurations!$E$72</f>
        <v>193.8274007617724</v>
      </c>
      <c r="AB37" s="187">
        <f t="shared" si="17"/>
        <v>775.30960304708947</v>
      </c>
      <c r="AC37" s="188">
        <f t="shared" si="18"/>
        <v>2710.7596412842304</v>
      </c>
      <c r="AD37" s="187">
        <f>AC37*Constants!$D$23</f>
        <v>271.07596412842304</v>
      </c>
      <c r="AE37" s="187">
        <f>S37-AD37</f>
        <v>2830.6490226625447</v>
      </c>
      <c r="AF37" s="189">
        <f>AE37*(1+Constants!$D$20)^-H37</f>
        <v>1943.0445592690783</v>
      </c>
      <c r="AG37" s="196"/>
      <c r="AH37" s="196"/>
    </row>
    <row r="38" spans="8:35" x14ac:dyDescent="0.3">
      <c r="H38" s="190">
        <v>20</v>
      </c>
      <c r="I38" s="191">
        <f>I37*(1-Constants!$D$11)</f>
        <v>0.90461048027461755</v>
      </c>
      <c r="J38" s="192">
        <f t="shared" si="13"/>
        <v>1221.3406536603784</v>
      </c>
      <c r="K38" s="192">
        <f t="shared" si="14"/>
        <v>10553.385613783341</v>
      </c>
      <c r="L38" s="193">
        <f>IF(J38*'Grid Power'!K37&lt;0,0,J38*'Grid Power'!K37)</f>
        <v>352.20756026610263</v>
      </c>
      <c r="M38" s="194">
        <v>0</v>
      </c>
      <c r="N38" s="194">
        <f>N37*(1+Constants!$D$20)</f>
        <v>145.6811172527799</v>
      </c>
      <c r="O38" s="194">
        <v>0</v>
      </c>
      <c r="P38" s="194">
        <f>K38*'Grid Power'!L37</f>
        <v>1300.4606783067902</v>
      </c>
      <c r="Q38" s="194">
        <f>V38+Y38+AB38</f>
        <v>1247.6330106434632</v>
      </c>
      <c r="R38" s="193">
        <f t="shared" si="11"/>
        <v>2050.2050114313711</v>
      </c>
      <c r="S38" s="193">
        <f>R38+'Analysis (Nothing)'!D25</f>
        <v>4443.7524871088353</v>
      </c>
      <c r="T38" s="193">
        <v>0</v>
      </c>
      <c r="U38" s="193">
        <f>V37*Configurations!$C$72</f>
        <v>104.93851808658191</v>
      </c>
      <c r="V38" s="193">
        <f t="shared" si="15"/>
        <v>244.85654220202446</v>
      </c>
      <c r="W38" s="193">
        <v>0</v>
      </c>
      <c r="X38" s="193">
        <f>Y37*Configurations!$D$72</f>
        <v>42.503198444863024</v>
      </c>
      <c r="Y38" s="193">
        <f t="shared" si="16"/>
        <v>382.52878600376721</v>
      </c>
      <c r="Z38" s="194">
        <v>0</v>
      </c>
      <c r="AA38" s="193">
        <f>AB37*Configurations!$E$72</f>
        <v>155.06192060941791</v>
      </c>
      <c r="AB38" s="193">
        <f t="shared" si="17"/>
        <v>620.24768243767153</v>
      </c>
      <c r="AC38" s="194">
        <f t="shared" si="18"/>
        <v>4141.2488499679721</v>
      </c>
      <c r="AD38" s="193">
        <f>AC38*Constants!$D$23</f>
        <v>414.12488499679722</v>
      </c>
      <c r="AE38" s="193">
        <f>S38-AD38</f>
        <v>4029.6276021120379</v>
      </c>
      <c r="AF38" s="195">
        <f>AE38*(1+Constants!$D$20)^-H38</f>
        <v>2711.8238593223646</v>
      </c>
      <c r="AG38" s="196"/>
      <c r="AH38" s="196"/>
    </row>
    <row r="39" spans="8:35" x14ac:dyDescent="0.3">
      <c r="H39" s="196"/>
      <c r="I39" s="186"/>
      <c r="J39" s="173"/>
      <c r="K39" s="173"/>
      <c r="L39" s="187"/>
      <c r="M39" s="188"/>
      <c r="N39" s="188"/>
      <c r="O39" s="188"/>
      <c r="P39" s="188"/>
      <c r="Q39" s="188"/>
      <c r="R39" s="187"/>
      <c r="S39" s="187"/>
      <c r="T39" s="187"/>
      <c r="U39" s="187"/>
      <c r="V39" s="187"/>
      <c r="W39" s="187"/>
      <c r="X39" s="187"/>
      <c r="Y39" s="187"/>
      <c r="Z39" s="188"/>
      <c r="AA39" s="187"/>
      <c r="AB39" s="187"/>
      <c r="AC39" s="188"/>
      <c r="AD39" s="187"/>
      <c r="AE39" s="187"/>
      <c r="AF39" s="188"/>
      <c r="AG39" s="196"/>
      <c r="AH39" s="196"/>
    </row>
    <row r="40" spans="8:35" x14ac:dyDescent="0.3">
      <c r="H40" s="290" t="s">
        <v>201</v>
      </c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196"/>
      <c r="AH40" s="166" t="s">
        <v>192</v>
      </c>
      <c r="AI40" s="167">
        <f>IRR(AE44:AE84)</f>
        <v>0.10106617586986832</v>
      </c>
    </row>
    <row r="41" spans="8:35" x14ac:dyDescent="0.3">
      <c r="H41" s="290" t="s">
        <v>56</v>
      </c>
      <c r="I41" s="284" t="s">
        <v>116</v>
      </c>
      <c r="J41" s="285"/>
      <c r="K41" s="286"/>
      <c r="L41" s="284" t="s">
        <v>6</v>
      </c>
      <c r="M41" s="285"/>
      <c r="N41" s="285"/>
      <c r="O41" s="286"/>
      <c r="P41" s="285" t="s">
        <v>164</v>
      </c>
      <c r="Q41" s="286"/>
      <c r="R41" s="284" t="s">
        <v>172</v>
      </c>
      <c r="S41" s="286"/>
      <c r="T41" s="284" t="s">
        <v>227</v>
      </c>
      <c r="U41" s="285"/>
      <c r="V41" s="286"/>
      <c r="W41" s="284" t="s">
        <v>228</v>
      </c>
      <c r="X41" s="285"/>
      <c r="Y41" s="286"/>
      <c r="Z41" s="284" t="s">
        <v>245</v>
      </c>
      <c r="AA41" s="285"/>
      <c r="AB41" s="286"/>
      <c r="AC41" s="164"/>
      <c r="AD41" s="164"/>
      <c r="AE41" s="290" t="s">
        <v>195</v>
      </c>
      <c r="AF41" s="290"/>
      <c r="AG41" s="196"/>
      <c r="AH41" s="166" t="s">
        <v>193</v>
      </c>
      <c r="AI41" s="171">
        <f>IRR(AF44:AF84)</f>
        <v>7.9476643009687153E-2</v>
      </c>
    </row>
    <row r="42" spans="8:35" x14ac:dyDescent="0.3">
      <c r="H42" s="290"/>
      <c r="I42" s="288" t="s">
        <v>152</v>
      </c>
      <c r="J42" s="203" t="s">
        <v>168</v>
      </c>
      <c r="K42" s="203" t="s">
        <v>241</v>
      </c>
      <c r="L42" s="203" t="s">
        <v>160</v>
      </c>
      <c r="M42" s="203" t="s">
        <v>139</v>
      </c>
      <c r="N42" s="203" t="s">
        <v>162</v>
      </c>
      <c r="O42" s="203" t="s">
        <v>224</v>
      </c>
      <c r="P42" s="203" t="s">
        <v>163</v>
      </c>
      <c r="Q42" s="203" t="s">
        <v>146</v>
      </c>
      <c r="R42" s="203" t="s">
        <v>172</v>
      </c>
      <c r="S42" s="203" t="s">
        <v>175</v>
      </c>
      <c r="T42" s="203" t="str">
        <f>"+CCA"</f>
        <v>+CCA</v>
      </c>
      <c r="U42" s="203" t="s">
        <v>8</v>
      </c>
      <c r="V42" s="203" t="s">
        <v>229</v>
      </c>
      <c r="W42" s="203" t="str">
        <f>"+CCA"</f>
        <v>+CCA</v>
      </c>
      <c r="X42" s="203" t="s">
        <v>8</v>
      </c>
      <c r="Y42" s="203" t="s">
        <v>229</v>
      </c>
      <c r="Z42" s="203" t="str">
        <f>"+CCA"</f>
        <v>+CCA</v>
      </c>
      <c r="AA42" s="203" t="s">
        <v>8</v>
      </c>
      <c r="AB42" s="203" t="s">
        <v>229</v>
      </c>
      <c r="AC42" s="203" t="s">
        <v>170</v>
      </c>
      <c r="AD42" s="203" t="s">
        <v>173</v>
      </c>
      <c r="AE42" s="203" t="s">
        <v>194</v>
      </c>
      <c r="AF42" s="203" t="s">
        <v>194</v>
      </c>
      <c r="AG42" s="196"/>
      <c r="AH42" s="177" t="s">
        <v>196</v>
      </c>
      <c r="AI42" s="178">
        <f>NPV(Constants!$D$21,'Analysis (C)'!AF45:AF84)+'Analysis (C)'!AF44</f>
        <v>10573.677615699751</v>
      </c>
    </row>
    <row r="43" spans="8:35" x14ac:dyDescent="0.3">
      <c r="H43" s="293"/>
      <c r="I43" s="289"/>
      <c r="J43" s="175" t="s">
        <v>62</v>
      </c>
      <c r="K43" s="175" t="s">
        <v>62</v>
      </c>
      <c r="L43" s="175" t="s">
        <v>59</v>
      </c>
      <c r="M43" s="175" t="s">
        <v>59</v>
      </c>
      <c r="N43" s="175" t="s">
        <v>59</v>
      </c>
      <c r="O43" s="175" t="s">
        <v>59</v>
      </c>
      <c r="P43" s="175" t="s">
        <v>59</v>
      </c>
      <c r="Q43" s="175" t="s">
        <v>59</v>
      </c>
      <c r="R43" s="175" t="s">
        <v>59</v>
      </c>
      <c r="S43" s="175" t="s">
        <v>59</v>
      </c>
      <c r="T43" s="175" t="s">
        <v>59</v>
      </c>
      <c r="U43" s="175" t="s">
        <v>59</v>
      </c>
      <c r="V43" s="175" t="s">
        <v>59</v>
      </c>
      <c r="W43" s="175" t="s">
        <v>59</v>
      </c>
      <c r="X43" s="175" t="s">
        <v>59</v>
      </c>
      <c r="Y43" s="175" t="s">
        <v>59</v>
      </c>
      <c r="Z43" s="175" t="s">
        <v>59</v>
      </c>
      <c r="AA43" s="175" t="s">
        <v>59</v>
      </c>
      <c r="AB43" s="175" t="s">
        <v>59</v>
      </c>
      <c r="AC43" s="175" t="s">
        <v>59</v>
      </c>
      <c r="AD43" s="175" t="s">
        <v>59</v>
      </c>
      <c r="AE43" s="175" t="s">
        <v>59</v>
      </c>
      <c r="AF43" s="176" t="s">
        <v>176</v>
      </c>
      <c r="AH43" s="166" t="s">
        <v>197</v>
      </c>
      <c r="AI43" s="185">
        <f>PMT(Constants!$D$21,5,-'Analysis (C)'!AI42)</f>
        <v>2308.8108439039838</v>
      </c>
    </row>
    <row r="44" spans="8:35" x14ac:dyDescent="0.3">
      <c r="H44" s="179">
        <v>0</v>
      </c>
      <c r="I44" s="180">
        <v>1</v>
      </c>
      <c r="J44" s="181">
        <v>0</v>
      </c>
      <c r="K44" s="181">
        <v>0</v>
      </c>
      <c r="L44" s="182">
        <v>0</v>
      </c>
      <c r="M44" s="183">
        <f>IF($C$20=0,Configurations!$C$58-Configurations!$C$59,0)</f>
        <v>0</v>
      </c>
      <c r="N44" s="183">
        <v>0</v>
      </c>
      <c r="O44" s="183">
        <v>0</v>
      </c>
      <c r="P44" s="183">
        <f>K44*'Grid Power'!$L$18</f>
        <v>0</v>
      </c>
      <c r="Q44" s="183">
        <v>0</v>
      </c>
      <c r="R44" s="182">
        <f t="shared" ref="R44:R84" si="19">SUM(P44:Q44)-SUM(L44:O44)</f>
        <v>0</v>
      </c>
      <c r="S44" s="182">
        <f>R44+'Analysis (Nothing)'!D5</f>
        <v>0</v>
      </c>
      <c r="T44" s="182">
        <f>Configurations!$C$71/2</f>
        <v>9108</v>
      </c>
      <c r="U44" s="182">
        <f>0</f>
        <v>0</v>
      </c>
      <c r="V44" s="182">
        <f>U44+T44</f>
        <v>9108</v>
      </c>
      <c r="W44" s="182">
        <f>Configurations!$D$71/2</f>
        <v>1490.3999999999999</v>
      </c>
      <c r="X44" s="182">
        <f>0</f>
        <v>0</v>
      </c>
      <c r="Y44" s="182">
        <f>X44+W44</f>
        <v>1490.3999999999999</v>
      </c>
      <c r="Z44" s="182">
        <f>Configurations!$E$71/2</f>
        <v>2318.4</v>
      </c>
      <c r="AA44" s="183">
        <v>0</v>
      </c>
      <c r="AB44" s="182">
        <f>Z44-AA44</f>
        <v>2318.4</v>
      </c>
      <c r="AC44" s="183">
        <f>IF(S44&lt;0, 0,S44-AA44-X44-U44)</f>
        <v>0</v>
      </c>
      <c r="AD44" s="182">
        <f>AC44*Constants!$D$23</f>
        <v>0</v>
      </c>
      <c r="AE44" s="182">
        <f t="shared" ref="AE44:AE62" si="20">S44-AD44</f>
        <v>0</v>
      </c>
      <c r="AF44" s="184">
        <f>AE44*(1+Constants!$D$20)^-H44</f>
        <v>0</v>
      </c>
    </row>
    <row r="45" spans="8:35" x14ac:dyDescent="0.3">
      <c r="H45" s="172">
        <v>1</v>
      </c>
      <c r="I45" s="186">
        <f>I44*(1-Constants!$D$11)</f>
        <v>0.995</v>
      </c>
      <c r="J45" s="173">
        <f>$E$18*(2-I45)</f>
        <v>1120.55787902408</v>
      </c>
      <c r="K45" s="173">
        <f>$F$18*I45</f>
        <v>11607.889710195148</v>
      </c>
      <c r="L45" s="187">
        <f>IF(J45*'Grid Power'!K18&lt;0,0,J45*'Grid Power'!K18)</f>
        <v>136.48467130440704</v>
      </c>
      <c r="M45" s="188">
        <f>IF($C$20=5,Configurations!$F$58,IF('Analysis (C)'!$C$20=15,Configurations!$F$59,0))</f>
        <v>2323.7759771349743</v>
      </c>
      <c r="N45" s="188">
        <f>Configurations!$C$55*Constants!$D$63*1000</f>
        <v>100</v>
      </c>
      <c r="O45" s="188">
        <v>0</v>
      </c>
      <c r="P45" s="188">
        <f>K45*'Grid Power'!L18</f>
        <v>1184.0024172540734</v>
      </c>
      <c r="Q45" s="188">
        <v>0</v>
      </c>
      <c r="R45" s="187">
        <f t="shared" si="19"/>
        <v>-1376.258231185308</v>
      </c>
      <c r="S45" s="187">
        <f>R45+'Analysis (Nothing)'!D6</f>
        <v>-365.30801395954791</v>
      </c>
      <c r="T45" s="187">
        <f>Configurations!$C$71/2</f>
        <v>9108</v>
      </c>
      <c r="U45" s="187">
        <f>V44*Configurations!$C$48</f>
        <v>2732.4</v>
      </c>
      <c r="V45" s="187">
        <f>V44+T45-U45</f>
        <v>15483.6</v>
      </c>
      <c r="W45" s="187">
        <f>Configurations!$D$71/2</f>
        <v>1490.3999999999999</v>
      </c>
      <c r="X45" s="187">
        <f>Y44*Configurations!$D$48</f>
        <v>149.04</v>
      </c>
      <c r="Y45" s="187">
        <f>Y44+W45-X45</f>
        <v>2831.7599999999998</v>
      </c>
      <c r="Z45" s="187">
        <f>Configurations!$E$71/2</f>
        <v>2318.4</v>
      </c>
      <c r="AA45" s="187">
        <f>AB44*Configurations!$E$48</f>
        <v>463.68000000000006</v>
      </c>
      <c r="AB45" s="187">
        <f>AB44+Z45-AA45</f>
        <v>4173.12</v>
      </c>
      <c r="AC45" s="188">
        <f>IF(S45-AA45-X45-U45&lt;0, 0,S45-AA45-X45-U45)</f>
        <v>0</v>
      </c>
      <c r="AD45" s="187">
        <f>AC45*Constants!$D$23</f>
        <v>0</v>
      </c>
      <c r="AE45" s="187">
        <f t="shared" si="20"/>
        <v>-365.30801395954791</v>
      </c>
      <c r="AF45" s="189">
        <f>AE45*(1+Constants!$D$20)^-H45</f>
        <v>-358.14511172504695</v>
      </c>
    </row>
    <row r="46" spans="8:35" x14ac:dyDescent="0.3">
      <c r="H46" s="172">
        <v>2</v>
      </c>
      <c r="I46" s="186">
        <f>I45*(1-Constants!$D$11)</f>
        <v>0.99002500000000004</v>
      </c>
      <c r="J46" s="173">
        <f t="shared" ref="J46:J84" si="21">$E$18*(2-I46)</f>
        <v>1126.1049192709902</v>
      </c>
      <c r="K46" s="173">
        <f t="shared" ref="K46:K84" si="22">$F$18*I46</f>
        <v>11549.850261644173</v>
      </c>
      <c r="L46" s="187">
        <f>IF(J46*'Grid Power'!K19&lt;0,0,J46*'Grid Power'!K19)</f>
        <v>143.38527354403797</v>
      </c>
      <c r="M46" s="188">
        <f>IF($C$20=5,Configurations!$F$58,IF('Analysis (C)'!$C$20=15,Configurations!$F$59,0))</f>
        <v>2323.7759771349743</v>
      </c>
      <c r="N46" s="188">
        <f>N45*(1+Constants!$D$20)</f>
        <v>102</v>
      </c>
      <c r="O46" s="188">
        <v>0</v>
      </c>
      <c r="P46" s="188">
        <f>K46*'Grid Power'!L19</f>
        <v>1189.8632292194811</v>
      </c>
      <c r="Q46" s="188">
        <v>0</v>
      </c>
      <c r="R46" s="187">
        <f t="shared" si="19"/>
        <v>-1379.2980214595309</v>
      </c>
      <c r="S46" s="187">
        <f>R46+'Analysis (Nothing)'!D7</f>
        <v>-322.46620635930208</v>
      </c>
      <c r="T46" s="187">
        <v>0</v>
      </c>
      <c r="U46" s="187">
        <f>V45*Configurations!$C$48</f>
        <v>4645.08</v>
      </c>
      <c r="V46" s="187">
        <f t="shared" ref="V46:V84" si="23">V45+T46-U46</f>
        <v>10838.52</v>
      </c>
      <c r="W46" s="187">
        <v>0</v>
      </c>
      <c r="X46" s="187">
        <f>Y45*Configurations!$D$48</f>
        <v>283.17599999999999</v>
      </c>
      <c r="Y46" s="187">
        <f t="shared" ref="Y46:Y84" si="24">Y45+W46-X46</f>
        <v>2548.5839999999998</v>
      </c>
      <c r="Z46" s="188">
        <v>0</v>
      </c>
      <c r="AA46" s="187">
        <f>AB45*Configurations!$E$48</f>
        <v>834.62400000000002</v>
      </c>
      <c r="AB46" s="187">
        <f t="shared" ref="AB46:AB84" si="25">AB45+Z46-AA46</f>
        <v>3338.4960000000001</v>
      </c>
      <c r="AC46" s="188">
        <f t="shared" ref="AC46:AC84" si="26">IF(S46-AA46-X46-U46&lt;0, 0,S46-AA46-X46-U46)</f>
        <v>0</v>
      </c>
      <c r="AD46" s="187">
        <f>AC46*Constants!$D$23</f>
        <v>0</v>
      </c>
      <c r="AE46" s="187">
        <f t="shared" si="20"/>
        <v>-322.46620635930208</v>
      </c>
      <c r="AF46" s="189">
        <f>AE46*(1+Constants!$D$20)^-H46</f>
        <v>-309.94445055680711</v>
      </c>
    </row>
    <row r="47" spans="8:35" x14ac:dyDescent="0.3">
      <c r="H47" s="172">
        <v>3</v>
      </c>
      <c r="I47" s="186">
        <f>I46*(1-Constants!$D$11)</f>
        <v>0.98507487500000002</v>
      </c>
      <c r="J47" s="173">
        <f t="shared" si="21"/>
        <v>1131.624224316666</v>
      </c>
      <c r="K47" s="173">
        <f t="shared" si="22"/>
        <v>11492.101010335951</v>
      </c>
      <c r="L47" s="187">
        <f>IF(J47*'Grid Power'!K20&lt;0,0,J47*'Grid Power'!K20)</f>
        <v>150.64551954432741</v>
      </c>
      <c r="M47" s="188">
        <f>IF($C$20=5,Configurations!$F$58,IF('Analysis (C)'!$C$20=15,Configurations!$F$59,0))</f>
        <v>2323.7759771349743</v>
      </c>
      <c r="N47" s="188">
        <f>N46*(1+Constants!$D$20)</f>
        <v>104.04</v>
      </c>
      <c r="O47" s="188">
        <v>0</v>
      </c>
      <c r="P47" s="188">
        <f>K47*'Grid Power'!L20</f>
        <v>1195.7530522041177</v>
      </c>
      <c r="Q47" s="188">
        <v>0</v>
      </c>
      <c r="R47" s="187">
        <f t="shared" si="19"/>
        <v>-1382.7084444751838</v>
      </c>
      <c r="S47" s="187">
        <f>R47+'Analysis (Nothing)'!D8</f>
        <v>-277.77996099937764</v>
      </c>
      <c r="T47" s="187">
        <v>0</v>
      </c>
      <c r="U47" s="187">
        <f>V46*Configurations!$C$48</f>
        <v>3251.556</v>
      </c>
      <c r="V47" s="187">
        <f t="shared" si="23"/>
        <v>7586.9639999999999</v>
      </c>
      <c r="W47" s="187">
        <v>0</v>
      </c>
      <c r="X47" s="187">
        <f>Y46*Configurations!$D$48</f>
        <v>254.85839999999999</v>
      </c>
      <c r="Y47" s="187">
        <f t="shared" si="24"/>
        <v>2293.7255999999998</v>
      </c>
      <c r="Z47" s="188">
        <v>0</v>
      </c>
      <c r="AA47" s="187">
        <f>AB46*Configurations!$E$48</f>
        <v>667.69920000000002</v>
      </c>
      <c r="AB47" s="187">
        <f t="shared" si="25"/>
        <v>2670.7968000000001</v>
      </c>
      <c r="AC47" s="188">
        <f t="shared" si="26"/>
        <v>0</v>
      </c>
      <c r="AD47" s="187">
        <f>AC47*Constants!$D$23</f>
        <v>0</v>
      </c>
      <c r="AE47" s="187">
        <f t="shared" si="20"/>
        <v>-277.77996099937764</v>
      </c>
      <c r="AF47" s="189">
        <f>AE47*(1+Constants!$D$20)^-H47</f>
        <v>-261.75826133932054</v>
      </c>
    </row>
    <row r="48" spans="8:35" x14ac:dyDescent="0.3">
      <c r="H48" s="172">
        <v>4</v>
      </c>
      <c r="I48" s="186">
        <f>I47*(1-Constants!$D$11)</f>
        <v>0.98014950062500006</v>
      </c>
      <c r="J48" s="173">
        <f t="shared" si="21"/>
        <v>1137.1159328371132</v>
      </c>
      <c r="K48" s="173">
        <f t="shared" si="22"/>
        <v>11434.640505284273</v>
      </c>
      <c r="L48" s="187">
        <f>IF(J48*'Grid Power'!K21&lt;0,0,J48*'Grid Power'!K21)</f>
        <v>158.28446575431599</v>
      </c>
      <c r="M48" s="188">
        <f>IF($C$20=5,Configurations!$F$58,IF('Analysis (C)'!$C$20=15,Configurations!$F$59,0))</f>
        <v>2323.7759771349743</v>
      </c>
      <c r="N48" s="188">
        <f>N47*(1+Constants!$D$20)</f>
        <v>106.1208</v>
      </c>
      <c r="O48" s="188">
        <v>0</v>
      </c>
      <c r="P48" s="188">
        <f>K48*'Grid Power'!L21</f>
        <v>1201.6720298125281</v>
      </c>
      <c r="Q48" s="188">
        <v>0</v>
      </c>
      <c r="R48" s="187">
        <f t="shared" si="19"/>
        <v>-1386.5092130767623</v>
      </c>
      <c r="S48" s="187">
        <f>R48+'Analysis (Nothing)'!D9</f>
        <v>-231.15876973050376</v>
      </c>
      <c r="T48" s="187">
        <v>0</v>
      </c>
      <c r="U48" s="187">
        <f>V47*Configurations!$C$48</f>
        <v>2276.0891999999999</v>
      </c>
      <c r="V48" s="187">
        <f t="shared" si="23"/>
        <v>5310.8747999999996</v>
      </c>
      <c r="W48" s="187">
        <v>0</v>
      </c>
      <c r="X48" s="187">
        <f>Y47*Configurations!$D$48</f>
        <v>229.37255999999999</v>
      </c>
      <c r="Y48" s="187">
        <f t="shared" si="24"/>
        <v>2064.35304</v>
      </c>
      <c r="Z48" s="188">
        <v>0</v>
      </c>
      <c r="AA48" s="187">
        <f>AB47*Configurations!$E$48</f>
        <v>534.15935999999999</v>
      </c>
      <c r="AB48" s="187">
        <f t="shared" si="25"/>
        <v>2136.63744</v>
      </c>
      <c r="AC48" s="188">
        <f t="shared" si="26"/>
        <v>0</v>
      </c>
      <c r="AD48" s="187">
        <f>AC48*Constants!$D$23</f>
        <v>0</v>
      </c>
      <c r="AE48" s="187">
        <f t="shared" si="20"/>
        <v>-231.15876973050376</v>
      </c>
      <c r="AF48" s="189">
        <f>AE48*(1+Constants!$D$20)^-H48</f>
        <v>-213.55497210144213</v>
      </c>
    </row>
    <row r="49" spans="8:32" x14ac:dyDescent="0.3">
      <c r="H49" s="172">
        <v>5</v>
      </c>
      <c r="I49" s="186">
        <f>I48*(1-Constants!$D$11)</f>
        <v>0.97524875312187509</v>
      </c>
      <c r="J49" s="173">
        <f t="shared" si="21"/>
        <v>1142.5801828149581</v>
      </c>
      <c r="K49" s="173">
        <f t="shared" si="22"/>
        <v>11377.467302757852</v>
      </c>
      <c r="L49" s="187">
        <f>IF(J49*'Grid Power'!K22&lt;0,0,J49*'Grid Power'!K22)</f>
        <v>166.32218337402776</v>
      </c>
      <c r="M49" s="188">
        <f>IF($C$20=5,Configurations!$F$58,IF('Analysis (C)'!$C$20=15,Configurations!$F$59,0))</f>
        <v>2323.7759771349743</v>
      </c>
      <c r="N49" s="188">
        <f>N48*(1+Constants!$D$20)</f>
        <v>108.243216</v>
      </c>
      <c r="O49" s="188">
        <v>0</v>
      </c>
      <c r="P49" s="188">
        <f>K49*'Grid Power'!L22</f>
        <v>1207.6203063601001</v>
      </c>
      <c r="Q49" s="188">
        <v>0</v>
      </c>
      <c r="R49" s="187">
        <f t="shared" si="19"/>
        <v>-1390.7210701489016</v>
      </c>
      <c r="S49" s="187">
        <f>R49+'Analysis (Nothing)'!D10</f>
        <v>-182.50759362010763</v>
      </c>
      <c r="T49" s="187">
        <v>0</v>
      </c>
      <c r="U49" s="187">
        <f>V48*Configurations!$C$48</f>
        <v>1593.2624399999997</v>
      </c>
      <c r="V49" s="187">
        <f t="shared" si="23"/>
        <v>3717.6123600000001</v>
      </c>
      <c r="W49" s="187">
        <v>0</v>
      </c>
      <c r="X49" s="187">
        <f>Y48*Configurations!$D$48</f>
        <v>206.435304</v>
      </c>
      <c r="Y49" s="187">
        <f t="shared" si="24"/>
        <v>1857.9177359999999</v>
      </c>
      <c r="Z49" s="188">
        <v>0</v>
      </c>
      <c r="AA49" s="187">
        <f>AB48*Configurations!$E$48</f>
        <v>427.32748800000002</v>
      </c>
      <c r="AB49" s="187">
        <f t="shared" si="25"/>
        <v>1709.3099520000001</v>
      </c>
      <c r="AC49" s="188">
        <f t="shared" si="26"/>
        <v>0</v>
      </c>
      <c r="AD49" s="187">
        <f>AC49*Constants!$D$23</f>
        <v>0</v>
      </c>
      <c r="AE49" s="187">
        <f t="shared" si="20"/>
        <v>-182.50759362010763</v>
      </c>
      <c r="AF49" s="189">
        <f>AE49*(1+Constants!$D$20)^-H49</f>
        <v>-165.30275056964928</v>
      </c>
    </row>
    <row r="50" spans="8:32" x14ac:dyDescent="0.3">
      <c r="H50" s="172">
        <v>6</v>
      </c>
      <c r="I50" s="186">
        <f>I49*(1-Constants!$D$11)</f>
        <v>0.97037250935626573</v>
      </c>
      <c r="J50" s="173">
        <f t="shared" si="21"/>
        <v>1148.0171115429141</v>
      </c>
      <c r="K50" s="173">
        <f t="shared" si="22"/>
        <v>11320.579966244062</v>
      </c>
      <c r="L50" s="187">
        <f>IF(J50*'Grid Power'!K23&lt;0,0,J50*'Grid Power'!K23)</f>
        <v>174.77981232949656</v>
      </c>
      <c r="M50" s="188">
        <f>IF($C$20=15,Configurations!$F$59,0)</f>
        <v>2323.7759771349743</v>
      </c>
      <c r="N50" s="188">
        <f>N49*(1+Constants!$D$20)</f>
        <v>110.40808032000001</v>
      </c>
      <c r="O50" s="188">
        <v>0</v>
      </c>
      <c r="P50" s="188">
        <f>K50*'Grid Power'!L23</f>
        <v>1213.5980268765827</v>
      </c>
      <c r="Q50" s="188">
        <v>0</v>
      </c>
      <c r="R50" s="187">
        <f t="shared" si="19"/>
        <v>-1395.365842907888</v>
      </c>
      <c r="S50" s="187">
        <f>R50+'Analysis (Nothing)'!D11</f>
        <v>-131.72663497166809</v>
      </c>
      <c r="T50" s="187">
        <v>0</v>
      </c>
      <c r="U50" s="187">
        <f>V49*Configurations!$C$48</f>
        <v>1115.2837079999999</v>
      </c>
      <c r="V50" s="187">
        <f t="shared" si="23"/>
        <v>2602.3286520000001</v>
      </c>
      <c r="W50" s="187">
        <v>0</v>
      </c>
      <c r="X50" s="187">
        <f>Y49*Configurations!$D$48</f>
        <v>185.7917736</v>
      </c>
      <c r="Y50" s="187">
        <f t="shared" si="24"/>
        <v>1672.1259623999999</v>
      </c>
      <c r="Z50" s="188">
        <v>0</v>
      </c>
      <c r="AA50" s="187">
        <f>AB49*Configurations!$E$48</f>
        <v>341.86199040000002</v>
      </c>
      <c r="AB50" s="187">
        <f t="shared" si="25"/>
        <v>1367.4479616000001</v>
      </c>
      <c r="AC50" s="188">
        <f t="shared" si="26"/>
        <v>0</v>
      </c>
      <c r="AD50" s="187">
        <f>AC50*Constants!$D$23</f>
        <v>0</v>
      </c>
      <c r="AE50" s="187">
        <f t="shared" si="20"/>
        <v>-131.72663497166809</v>
      </c>
      <c r="AF50" s="189">
        <f>AE50*(1+Constants!$D$20)^-H50</f>
        <v>-116.96948212652809</v>
      </c>
    </row>
    <row r="51" spans="8:32" x14ac:dyDescent="0.3">
      <c r="H51" s="172">
        <v>7</v>
      </c>
      <c r="I51" s="186">
        <f>I50*(1-Constants!$D$11)</f>
        <v>0.96552064680948435</v>
      </c>
      <c r="J51" s="173">
        <f t="shared" si="21"/>
        <v>1153.4268556272302</v>
      </c>
      <c r="K51" s="173">
        <f t="shared" si="22"/>
        <v>11263.977066412841</v>
      </c>
      <c r="L51" s="187">
        <f>IF(J51*'Grid Power'!K24&lt;0,0,J51*'Grid Power'!K24)</f>
        <v>183.67961810858574</v>
      </c>
      <c r="M51" s="188">
        <f>IF($C$20=15,Configurations!$F$59,0)</f>
        <v>2323.7759771349743</v>
      </c>
      <c r="N51" s="188">
        <f>N50*(1+Constants!$D$20)</f>
        <v>112.61624192640001</v>
      </c>
      <c r="O51" s="188">
        <v>0</v>
      </c>
      <c r="P51" s="188">
        <f>K51*'Grid Power'!L24</f>
        <v>1219.6053371096216</v>
      </c>
      <c r="Q51" s="188">
        <v>0</v>
      </c>
      <c r="R51" s="187">
        <f t="shared" si="19"/>
        <v>-1400.4665000603384</v>
      </c>
      <c r="S51" s="187">
        <f>R51+'Analysis (Nothing)'!D12</f>
        <v>-78.711097844615551</v>
      </c>
      <c r="T51" s="187">
        <v>0</v>
      </c>
      <c r="U51" s="187">
        <f>V50*Configurations!$C$48</f>
        <v>780.69859559999998</v>
      </c>
      <c r="V51" s="187">
        <f t="shared" si="23"/>
        <v>1821.6300564000003</v>
      </c>
      <c r="W51" s="187">
        <v>0</v>
      </c>
      <c r="X51" s="187">
        <f>Y50*Configurations!$D$48</f>
        <v>167.21259624000001</v>
      </c>
      <c r="Y51" s="187">
        <f t="shared" si="24"/>
        <v>1504.9133661599999</v>
      </c>
      <c r="Z51" s="188">
        <v>0</v>
      </c>
      <c r="AA51" s="187">
        <f>AB50*Configurations!$E$48</f>
        <v>273.48959232000004</v>
      </c>
      <c r="AB51" s="187">
        <f t="shared" si="25"/>
        <v>1093.9583692800002</v>
      </c>
      <c r="AC51" s="188">
        <f t="shared" si="26"/>
        <v>0</v>
      </c>
      <c r="AD51" s="187">
        <f>AC51*Constants!$D$23</f>
        <v>0</v>
      </c>
      <c r="AE51" s="187">
        <f t="shared" si="20"/>
        <v>-78.711097844615551</v>
      </c>
      <c r="AF51" s="189">
        <f>AE51*(1+Constants!$D$20)^-H51</f>
        <v>-68.522747398505771</v>
      </c>
    </row>
    <row r="52" spans="8:32" x14ac:dyDescent="0.3">
      <c r="H52" s="172">
        <v>8</v>
      </c>
      <c r="I52" s="186">
        <f>I51*(1-Constants!$D$11)</f>
        <v>0.96069304357543694</v>
      </c>
      <c r="J52" s="173">
        <f t="shared" si="21"/>
        <v>1158.8095509911245</v>
      </c>
      <c r="K52" s="173">
        <f t="shared" si="22"/>
        <v>11207.657181080778</v>
      </c>
      <c r="L52" s="187">
        <f>IF(J52*'Grid Power'!K25&lt;0,0,J52*'Grid Power'!K25)</f>
        <v>193.04505160859563</v>
      </c>
      <c r="M52" s="188">
        <f>IF($C$20=15,Configurations!$F$59,0)</f>
        <v>2323.7759771349743</v>
      </c>
      <c r="N52" s="188">
        <f>N51*(1+Constants!$D$20)</f>
        <v>114.868566764928</v>
      </c>
      <c r="O52" s="188">
        <v>0</v>
      </c>
      <c r="P52" s="188">
        <f>K52*'Grid Power'!L25</f>
        <v>1225.6423835283144</v>
      </c>
      <c r="Q52" s="188">
        <v>0</v>
      </c>
      <c r="R52" s="187">
        <f t="shared" si="19"/>
        <v>-1406.0472119801834</v>
      </c>
      <c r="S52" s="187">
        <f>R52+'Analysis (Nothing)'!D13</f>
        <v>-23.350936493858626</v>
      </c>
      <c r="T52" s="187">
        <v>0</v>
      </c>
      <c r="U52" s="187">
        <f>V51*Configurations!$C$48</f>
        <v>546.48901692000004</v>
      </c>
      <c r="V52" s="187">
        <f t="shared" si="23"/>
        <v>1275.1410394800002</v>
      </c>
      <c r="W52" s="187">
        <v>0</v>
      </c>
      <c r="X52" s="187">
        <f>Y51*Configurations!$D$48</f>
        <v>150.49133661599998</v>
      </c>
      <c r="Y52" s="187">
        <f t="shared" si="24"/>
        <v>1354.422029544</v>
      </c>
      <c r="Z52" s="188">
        <v>0</v>
      </c>
      <c r="AA52" s="187">
        <f>AB51*Configurations!$E$48</f>
        <v>218.79167385600005</v>
      </c>
      <c r="AB52" s="187">
        <f t="shared" si="25"/>
        <v>875.16669542400018</v>
      </c>
      <c r="AC52" s="188">
        <f t="shared" si="26"/>
        <v>0</v>
      </c>
      <c r="AD52" s="187">
        <f>AC52*Constants!$D$23</f>
        <v>0</v>
      </c>
      <c r="AE52" s="187">
        <f t="shared" si="20"/>
        <v>-23.350936493858626</v>
      </c>
      <c r="AF52" s="189">
        <f>AE52*(1+Constants!$D$20)^-H52</f>
        <v>-19.929799455780124</v>
      </c>
    </row>
    <row r="53" spans="8:32" x14ac:dyDescent="0.3">
      <c r="H53" s="172">
        <v>9</v>
      </c>
      <c r="I53" s="186">
        <f>I52*(1-Constants!$D$11)</f>
        <v>0.95588957835755972</v>
      </c>
      <c r="J53" s="173">
        <f t="shared" si="21"/>
        <v>1164.1653328781999</v>
      </c>
      <c r="K53" s="173">
        <f t="shared" si="22"/>
        <v>11151.618895175374</v>
      </c>
      <c r="L53" s="187">
        <f>IF(J53*'Grid Power'!K26&lt;0,0,J53*'Grid Power'!K26)</f>
        <v>202.90081215459264</v>
      </c>
      <c r="M53" s="188">
        <f>IF($C$20=15,Configurations!$F$59,0)</f>
        <v>2323.7759771349743</v>
      </c>
      <c r="N53" s="188">
        <f>N52*(1+Constants!$D$20)</f>
        <v>117.16593810022657</v>
      </c>
      <c r="O53" s="188">
        <v>0</v>
      </c>
      <c r="P53" s="188">
        <f>K53*'Grid Power'!L26</f>
        <v>1231.7093133267795</v>
      </c>
      <c r="Q53" s="188">
        <v>0</v>
      </c>
      <c r="R53" s="187">
        <f t="shared" si="19"/>
        <v>-1412.1334140630138</v>
      </c>
      <c r="S53" s="187">
        <f>R53+'Analysis (Nothing)'!D14</f>
        <v>34.469408881381241</v>
      </c>
      <c r="T53" s="187">
        <v>0</v>
      </c>
      <c r="U53" s="187">
        <f>V52*Configurations!$C$48</f>
        <v>382.54231184400004</v>
      </c>
      <c r="V53" s="187">
        <f t="shared" si="23"/>
        <v>892.59872763600015</v>
      </c>
      <c r="W53" s="187">
        <v>0</v>
      </c>
      <c r="X53" s="187">
        <f>Y52*Configurations!$D$48</f>
        <v>135.44220295440002</v>
      </c>
      <c r="Y53" s="187">
        <f t="shared" si="24"/>
        <v>1218.9798265896</v>
      </c>
      <c r="Z53" s="188">
        <v>0</v>
      </c>
      <c r="AA53" s="187">
        <f>AB52*Configurations!$E$48</f>
        <v>175.03333908480005</v>
      </c>
      <c r="AB53" s="187">
        <f t="shared" si="25"/>
        <v>700.13335633920019</v>
      </c>
      <c r="AC53" s="188">
        <f t="shared" si="26"/>
        <v>0</v>
      </c>
      <c r="AD53" s="187">
        <f>AC53*Constants!$D$23</f>
        <v>0</v>
      </c>
      <c r="AE53" s="187">
        <f t="shared" si="20"/>
        <v>34.469408881381241</v>
      </c>
      <c r="AF53" s="189">
        <f>AE53*(1+Constants!$D$20)^-H53</f>
        <v>28.842459393013534</v>
      </c>
    </row>
    <row r="54" spans="8:32" x14ac:dyDescent="0.3">
      <c r="H54" s="172">
        <v>10</v>
      </c>
      <c r="I54" s="186">
        <f>I53*(1-Constants!$D$11)</f>
        <v>0.95111013046577186</v>
      </c>
      <c r="J54" s="173">
        <f t="shared" si="21"/>
        <v>1169.4943358558396</v>
      </c>
      <c r="K54" s="173">
        <f t="shared" si="22"/>
        <v>11095.860800699495</v>
      </c>
      <c r="L54" s="187">
        <f>IF(J54*'Grid Power'!K27&lt;0,0,J54*'Grid Power'!K27)</f>
        <v>213.2729138557431</v>
      </c>
      <c r="M54" s="188">
        <f>IF($C$20=15,Configurations!$F$59,0)</f>
        <v>2323.7759771349743</v>
      </c>
      <c r="N54" s="188">
        <f>N53*(1+Constants!$D$20)</f>
        <v>119.5092568622311</v>
      </c>
      <c r="O54" s="188">
        <f>Configurations!$D$63+Configurations!$D$65</f>
        <v>11260.8</v>
      </c>
      <c r="P54" s="188">
        <f>K54*'Grid Power'!L27</f>
        <v>1237.8062744277468</v>
      </c>
      <c r="Q54" s="188">
        <v>0</v>
      </c>
      <c r="R54" s="187">
        <f t="shared" si="19"/>
        <v>-12679.551873425202</v>
      </c>
      <c r="S54" s="187">
        <f>R54+'Analysis (Nothing)'!D15</f>
        <v>-11165.928710279393</v>
      </c>
      <c r="T54" s="187">
        <f>Configurations!$D$63/2</f>
        <v>3312</v>
      </c>
      <c r="U54" s="187">
        <f>V53*Configurations!$C$48</f>
        <v>267.77961829080004</v>
      </c>
      <c r="V54" s="187">
        <f t="shared" si="23"/>
        <v>3936.8191093452001</v>
      </c>
      <c r="W54" s="187">
        <v>0</v>
      </c>
      <c r="X54" s="187">
        <f>Y53*Configurations!$D$48</f>
        <v>121.89798265896</v>
      </c>
      <c r="Y54" s="187">
        <f t="shared" si="24"/>
        <v>1097.0818439306399</v>
      </c>
      <c r="Z54" s="187">
        <f>Configurations!$E$71/2</f>
        <v>2318.4</v>
      </c>
      <c r="AA54" s="187">
        <f>AB53*Configurations!$E$48</f>
        <v>140.02667126784004</v>
      </c>
      <c r="AB54" s="187">
        <f t="shared" si="25"/>
        <v>2878.5066850713606</v>
      </c>
      <c r="AC54" s="188">
        <f t="shared" si="26"/>
        <v>0</v>
      </c>
      <c r="AD54" s="187">
        <f>AC54*Constants!$D$23</f>
        <v>0</v>
      </c>
      <c r="AE54" s="187">
        <f t="shared" si="20"/>
        <v>-11165.928710279393</v>
      </c>
      <c r="AF54" s="189">
        <f>AE54*(1+Constants!$D$20)^-H54</f>
        <v>-9159.9506340048865</v>
      </c>
    </row>
    <row r="55" spans="8:32" x14ac:dyDescent="0.3">
      <c r="H55" s="172">
        <v>11</v>
      </c>
      <c r="I55" s="186">
        <f>I54*(1-Constants!$D$11)</f>
        <v>0.94635457981344295</v>
      </c>
      <c r="J55" s="173">
        <f t="shared" si="21"/>
        <v>1174.7966938185909</v>
      </c>
      <c r="K55" s="173">
        <f t="shared" si="22"/>
        <v>11040.381496695998</v>
      </c>
      <c r="L55" s="187">
        <f>IF(J55*'Grid Power'!K28&lt;0,0,J55*'Grid Power'!K28)</f>
        <v>224.18875547573103</v>
      </c>
      <c r="M55" s="188">
        <f>IF($C$20=15,Configurations!$F$59,0)</f>
        <v>2323.7759771349743</v>
      </c>
      <c r="N55" s="188">
        <f>N54*(1+Constants!$D$20)</f>
        <v>121.89944199947573</v>
      </c>
      <c r="O55" s="188">
        <v>0</v>
      </c>
      <c r="P55" s="188">
        <f>K55*'Grid Power'!L28</f>
        <v>1243.9334154861642</v>
      </c>
      <c r="Q55" s="188">
        <v>0</v>
      </c>
      <c r="R55" s="187">
        <f t="shared" si="19"/>
        <v>-1425.9307591240165</v>
      </c>
      <c r="S55" s="187">
        <f>R55+'Analysis (Nothing)'!D16</f>
        <v>157.98214069056462</v>
      </c>
      <c r="T55" s="187">
        <f>Configurations!$D$63/2</f>
        <v>3312</v>
      </c>
      <c r="U55" s="187">
        <f>V54*Configurations!$C$48</f>
        <v>1181.04573280356</v>
      </c>
      <c r="V55" s="187">
        <f t="shared" si="23"/>
        <v>6067.7733765416406</v>
      </c>
      <c r="W55" s="187">
        <v>0</v>
      </c>
      <c r="X55" s="187">
        <f>Y54*Configurations!$D$48</f>
        <v>109.708184393064</v>
      </c>
      <c r="Y55" s="187">
        <f t="shared" si="24"/>
        <v>987.37365953757592</v>
      </c>
      <c r="Z55" s="187">
        <f>Configurations!$E$71/2</f>
        <v>2318.4</v>
      </c>
      <c r="AA55" s="187">
        <f>AB54*Configurations!$E$48</f>
        <v>575.7013370142721</v>
      </c>
      <c r="AB55" s="187">
        <f t="shared" si="25"/>
        <v>4621.2053480570885</v>
      </c>
      <c r="AC55" s="188">
        <f t="shared" si="26"/>
        <v>0</v>
      </c>
      <c r="AD55" s="187">
        <f>AC55*Constants!$D$23</f>
        <v>0</v>
      </c>
      <c r="AE55" s="187">
        <f t="shared" si="20"/>
        <v>157.98214069056462</v>
      </c>
      <c r="AF55" s="189">
        <f>AE55*(1+Constants!$D$20)^-H55</f>
        <v>127.05919659425716</v>
      </c>
    </row>
    <row r="56" spans="8:32" x14ac:dyDescent="0.3">
      <c r="H56" s="172">
        <v>12</v>
      </c>
      <c r="I56" s="186">
        <f>I55*(1-Constants!$D$11)</f>
        <v>0.94162280691437572</v>
      </c>
      <c r="J56" s="173">
        <f t="shared" si="21"/>
        <v>1180.0725399915289</v>
      </c>
      <c r="K56" s="173">
        <f t="shared" si="22"/>
        <v>10985.179589212517</v>
      </c>
      <c r="L56" s="187">
        <f>IF(J56*'Grid Power'!K29&lt;0,0,J56*'Grid Power'!K29)</f>
        <v>235.67719400258383</v>
      </c>
      <c r="M56" s="188">
        <f>IF($C$20=15,Configurations!$F$59,0)</f>
        <v>2323.7759771349743</v>
      </c>
      <c r="N56" s="188">
        <f>N55*(1+Constants!$D$20)</f>
        <v>124.33743083946524</v>
      </c>
      <c r="O56" s="188">
        <v>0</v>
      </c>
      <c r="P56" s="188">
        <f>K56*'Grid Power'!L29</f>
        <v>1250.0908858928208</v>
      </c>
      <c r="Q56" s="188">
        <v>0</v>
      </c>
      <c r="R56" s="187">
        <f t="shared" si="19"/>
        <v>-1433.6997160842027</v>
      </c>
      <c r="S56" s="187">
        <f>R56+'Analysis (Nothing)'!D17</f>
        <v>223.93578598692261</v>
      </c>
      <c r="T56" s="187">
        <v>0</v>
      </c>
      <c r="U56" s="187">
        <f>V55*Configurations!$C$48</f>
        <v>1820.3320129624922</v>
      </c>
      <c r="V56" s="187">
        <f t="shared" si="23"/>
        <v>4247.4413635791479</v>
      </c>
      <c r="W56" s="187">
        <v>0</v>
      </c>
      <c r="X56" s="187">
        <f>Y55*Configurations!$D$48</f>
        <v>98.737365953757603</v>
      </c>
      <c r="Y56" s="187">
        <f t="shared" si="24"/>
        <v>888.63629358381831</v>
      </c>
      <c r="Z56" s="188">
        <v>0</v>
      </c>
      <c r="AA56" s="187">
        <f>AB55*Configurations!$E$48</f>
        <v>924.24106961141774</v>
      </c>
      <c r="AB56" s="187">
        <f t="shared" si="25"/>
        <v>3696.964278445671</v>
      </c>
      <c r="AC56" s="188">
        <f t="shared" si="26"/>
        <v>0</v>
      </c>
      <c r="AD56" s="187">
        <f>AC56*Constants!$D$23</f>
        <v>0</v>
      </c>
      <c r="AE56" s="187">
        <f t="shared" si="20"/>
        <v>223.93578598692261</v>
      </c>
      <c r="AF56" s="189">
        <f>AE56*(1+Constants!$D$20)^-H56</f>
        <v>176.5718390192028</v>
      </c>
    </row>
    <row r="57" spans="8:32" x14ac:dyDescent="0.3">
      <c r="H57" s="172">
        <v>13</v>
      </c>
      <c r="I57" s="186">
        <f>I56*(1-Constants!$D$11)</f>
        <v>0.93691469287980389</v>
      </c>
      <c r="J57" s="173">
        <f t="shared" si="21"/>
        <v>1185.3220069336016</v>
      </c>
      <c r="K57" s="173">
        <f t="shared" si="22"/>
        <v>10930.253691266455</v>
      </c>
      <c r="L57" s="187">
        <f>IF(J57*'Grid Power'!K30&lt;0,0,J57*'Grid Power'!K30)</f>
        <v>247.76862211296788</v>
      </c>
      <c r="M57" s="188">
        <f>IF($C$20=15,Configurations!$F$59,0)</f>
        <v>2323.7759771349743</v>
      </c>
      <c r="N57" s="188">
        <f>N56*(1+Constants!$D$20)</f>
        <v>126.82417945625456</v>
      </c>
      <c r="O57" s="188">
        <v>0</v>
      </c>
      <c r="P57" s="188">
        <f>K57*'Grid Power'!L30</f>
        <v>1256.2788357779903</v>
      </c>
      <c r="Q57" s="188">
        <v>0</v>
      </c>
      <c r="R57" s="187">
        <f t="shared" si="19"/>
        <v>-1442.0899429262065</v>
      </c>
      <c r="S57" s="187">
        <f>R57+'Analysis (Nothing)'!D18</f>
        <v>292.87276109259847</v>
      </c>
      <c r="T57" s="187">
        <v>0</v>
      </c>
      <c r="U57" s="187">
        <f>V56*Configurations!$C$48</f>
        <v>1274.2324090737443</v>
      </c>
      <c r="V57" s="187">
        <f t="shared" si="23"/>
        <v>2973.2089545054037</v>
      </c>
      <c r="W57" s="187">
        <v>0</v>
      </c>
      <c r="X57" s="187">
        <f>Y56*Configurations!$D$48</f>
        <v>88.863629358381843</v>
      </c>
      <c r="Y57" s="187">
        <f t="shared" si="24"/>
        <v>799.77266422543653</v>
      </c>
      <c r="Z57" s="188">
        <v>0</v>
      </c>
      <c r="AA57" s="187">
        <f>AB56*Configurations!$E$48</f>
        <v>739.39285568913419</v>
      </c>
      <c r="AB57" s="187">
        <f t="shared" si="25"/>
        <v>2957.5714227565368</v>
      </c>
      <c r="AC57" s="188">
        <f t="shared" si="26"/>
        <v>0</v>
      </c>
      <c r="AD57" s="187">
        <f>AC57*Constants!$D$23</f>
        <v>0</v>
      </c>
      <c r="AE57" s="187">
        <f t="shared" si="20"/>
        <v>292.87276109259847</v>
      </c>
      <c r="AF57" s="189">
        <f>AE57*(1+Constants!$D$20)^-H57</f>
        <v>226.40017003457919</v>
      </c>
    </row>
    <row r="58" spans="8:32" x14ac:dyDescent="0.3">
      <c r="H58" s="172">
        <v>14</v>
      </c>
      <c r="I58" s="186">
        <f>I57*(1-Constants!$D$11)</f>
        <v>0.9322301194154049</v>
      </c>
      <c r="J58" s="173">
        <f t="shared" si="21"/>
        <v>1190.5452265409644</v>
      </c>
      <c r="K58" s="173">
        <f t="shared" si="22"/>
        <v>10875.602422810123</v>
      </c>
      <c r="L58" s="187">
        <f>IF(J58*'Grid Power'!K31&lt;0,0,J58*'Grid Power'!K31)</f>
        <v>260.49504973626256</v>
      </c>
      <c r="M58" s="188">
        <f>IF($C$20=15,Configurations!$F$59,0)</f>
        <v>2323.7759771349743</v>
      </c>
      <c r="N58" s="188">
        <f>N57*(1+Constants!$D$20)</f>
        <v>129.36066304537965</v>
      </c>
      <c r="O58" s="188">
        <v>0</v>
      </c>
      <c r="P58" s="188">
        <f>K58*'Grid Power'!L31</f>
        <v>1262.4974160150914</v>
      </c>
      <c r="Q58" s="188">
        <v>0</v>
      </c>
      <c r="R58" s="187">
        <f t="shared" si="19"/>
        <v>-1451.1342739015249</v>
      </c>
      <c r="S58" s="187">
        <f>R58+'Analysis (Nothing)'!D19</f>
        <v>364.94065077381629</v>
      </c>
      <c r="T58" s="187">
        <v>0</v>
      </c>
      <c r="U58" s="187">
        <f>V57*Configurations!$C$48</f>
        <v>891.96268635162107</v>
      </c>
      <c r="V58" s="187">
        <f t="shared" si="23"/>
        <v>2081.2462681537827</v>
      </c>
      <c r="W58" s="187">
        <v>0</v>
      </c>
      <c r="X58" s="187">
        <f>Y57*Configurations!$D$48</f>
        <v>79.977266422543664</v>
      </c>
      <c r="Y58" s="187">
        <f t="shared" si="24"/>
        <v>719.79539780289292</v>
      </c>
      <c r="Z58" s="188">
        <v>0</v>
      </c>
      <c r="AA58" s="187">
        <f>AB57*Configurations!$E$48</f>
        <v>591.51428455130736</v>
      </c>
      <c r="AB58" s="187">
        <f t="shared" si="25"/>
        <v>2366.0571382052294</v>
      </c>
      <c r="AC58" s="188">
        <f t="shared" si="26"/>
        <v>0</v>
      </c>
      <c r="AD58" s="187">
        <f>AC58*Constants!$D$23</f>
        <v>0</v>
      </c>
      <c r="AE58" s="187">
        <f t="shared" si="20"/>
        <v>364.94065077381629</v>
      </c>
      <c r="AF58" s="189">
        <f>AE58*(1+Constants!$D$20)^-H58</f>
        <v>276.57940467847237</v>
      </c>
    </row>
    <row r="59" spans="8:32" x14ac:dyDescent="0.3">
      <c r="H59" s="172">
        <v>15</v>
      </c>
      <c r="I59" s="186">
        <f>I58*(1-Constants!$D$11)</f>
        <v>0.92756896881832784</v>
      </c>
      <c r="J59" s="173">
        <f t="shared" si="21"/>
        <v>1195.7423300502903</v>
      </c>
      <c r="K59" s="173">
        <f t="shared" si="22"/>
        <v>10821.224410696072</v>
      </c>
      <c r="L59" s="187">
        <f>IF(J59*'Grid Power'!K32&lt;0,0,J59*'Grid Power'!K32)</f>
        <v>273.89018993449548</v>
      </c>
      <c r="M59" s="188">
        <f>IF($C$20=15,Configurations!$F$59,0)</f>
        <v>2323.7759771349743</v>
      </c>
      <c r="N59" s="188">
        <f>N58*(1+Constants!$D$20)</f>
        <v>131.94787630628724</v>
      </c>
      <c r="O59" s="188">
        <v>0</v>
      </c>
      <c r="P59" s="188">
        <f>K59*'Grid Power'!L32</f>
        <v>1268.7467782243659</v>
      </c>
      <c r="Q59" s="188">
        <v>0</v>
      </c>
      <c r="R59" s="187">
        <f t="shared" si="19"/>
        <v>-1460.8672651513909</v>
      </c>
      <c r="S59" s="187">
        <f>R59+'Analysis (Nothing)'!D20</f>
        <v>440.29444413450506</v>
      </c>
      <c r="T59" s="187">
        <v>0</v>
      </c>
      <c r="U59" s="187">
        <f>V58*Configurations!$C$48</f>
        <v>624.37388044613476</v>
      </c>
      <c r="V59" s="187">
        <f t="shared" si="23"/>
        <v>1456.8723877076479</v>
      </c>
      <c r="W59" s="187">
        <v>0</v>
      </c>
      <c r="X59" s="187">
        <f>Y58*Configurations!$D$48</f>
        <v>71.979539780289301</v>
      </c>
      <c r="Y59" s="187">
        <f t="shared" si="24"/>
        <v>647.81585802260361</v>
      </c>
      <c r="Z59" s="188">
        <v>0</v>
      </c>
      <c r="AA59" s="187">
        <f>AB58*Configurations!$E$48</f>
        <v>473.21142764104593</v>
      </c>
      <c r="AB59" s="187">
        <f t="shared" si="25"/>
        <v>1892.8457105641835</v>
      </c>
      <c r="AC59" s="188">
        <f t="shared" si="26"/>
        <v>0</v>
      </c>
      <c r="AD59" s="187">
        <f>AC59*Constants!$D$23</f>
        <v>0</v>
      </c>
      <c r="AE59" s="187">
        <f t="shared" si="20"/>
        <v>440.29444413450506</v>
      </c>
      <c r="AF59" s="189">
        <f>AE59*(1+Constants!$D$20)^-H59</f>
        <v>327.14525752404444</v>
      </c>
    </row>
    <row r="60" spans="8:32" x14ac:dyDescent="0.3">
      <c r="H60" s="172">
        <v>16</v>
      </c>
      <c r="I60" s="186">
        <f>I59*(1-Constants!$D$11)</f>
        <v>0.92293112397423616</v>
      </c>
      <c r="J60" s="173">
        <f t="shared" si="21"/>
        <v>1200.9134480420694</v>
      </c>
      <c r="K60" s="173">
        <f t="shared" si="22"/>
        <v>10767.11828864259</v>
      </c>
      <c r="L60" s="187">
        <f>IF(J60*'Grid Power'!K33&lt;0,0,J60*'Grid Power'!K33)</f>
        <v>287.9895493255728</v>
      </c>
      <c r="M60" s="188">
        <v>0</v>
      </c>
      <c r="N60" s="188">
        <f>N59*(1+Constants!$D$20)</f>
        <v>134.58683383241299</v>
      </c>
      <c r="O60" s="188">
        <v>0</v>
      </c>
      <c r="P60" s="188">
        <f>K60*'Grid Power'!L33</f>
        <v>1275.0270747765765</v>
      </c>
      <c r="Q60" s="188">
        <v>0</v>
      </c>
      <c r="R60" s="187">
        <f t="shared" si="19"/>
        <v>852.45069161859067</v>
      </c>
      <c r="S60" s="187">
        <f>R60+'Analysis (Nothing)'!D21</f>
        <v>2842.8728847261254</v>
      </c>
      <c r="T60" s="187">
        <v>0</v>
      </c>
      <c r="U60" s="187">
        <f>V59*Configurations!$C$48</f>
        <v>437.06171631229438</v>
      </c>
      <c r="V60" s="187">
        <f t="shared" si="23"/>
        <v>1019.8106713953536</v>
      </c>
      <c r="W60" s="187">
        <v>0</v>
      </c>
      <c r="X60" s="187">
        <f>Y59*Configurations!$D$48</f>
        <v>64.781585802260366</v>
      </c>
      <c r="Y60" s="187">
        <f t="shared" si="24"/>
        <v>583.03427222034327</v>
      </c>
      <c r="Z60" s="188">
        <v>0</v>
      </c>
      <c r="AA60" s="187">
        <f>AB59*Configurations!$E$48</f>
        <v>378.56914211283674</v>
      </c>
      <c r="AB60" s="187">
        <f t="shared" si="25"/>
        <v>1514.2765684513467</v>
      </c>
      <c r="AC60" s="188">
        <f t="shared" si="26"/>
        <v>1962.460440498734</v>
      </c>
      <c r="AD60" s="187">
        <f>AC60*Constants!$D$23</f>
        <v>196.2460440498734</v>
      </c>
      <c r="AE60" s="187">
        <f t="shared" si="20"/>
        <v>2646.626840676252</v>
      </c>
      <c r="AF60" s="189">
        <f>AE60*(1+Constants!$D$20)^-H60</f>
        <v>1927.9242425543459</v>
      </c>
    </row>
    <row r="61" spans="8:32" x14ac:dyDescent="0.3">
      <c r="H61" s="172">
        <v>17</v>
      </c>
      <c r="I61" s="186">
        <f>I60*(1-Constants!$D$11)</f>
        <v>0.91831646835436498</v>
      </c>
      <c r="J61" s="173">
        <f t="shared" si="21"/>
        <v>1206.0587104438898</v>
      </c>
      <c r="K61" s="173">
        <f t="shared" si="22"/>
        <v>10713.282697199378</v>
      </c>
      <c r="L61" s="187">
        <f>IF(J61*'Grid Power'!K34&lt;0,0,J61*'Grid Power'!K34)</f>
        <v>302.83052328917432</v>
      </c>
      <c r="M61" s="188">
        <v>0</v>
      </c>
      <c r="N61" s="188">
        <f>N60*(1+Constants!$D$20)</f>
        <v>137.27857050906127</v>
      </c>
      <c r="O61" s="188">
        <v>0</v>
      </c>
      <c r="P61" s="188">
        <f>K61*'Grid Power'!L34</f>
        <v>1281.3384587967207</v>
      </c>
      <c r="Q61" s="188">
        <v>0</v>
      </c>
      <c r="R61" s="187">
        <f t="shared" si="19"/>
        <v>841.22936499848515</v>
      </c>
      <c r="S61" s="187">
        <f>R61+'Analysis (Nothing)'!D22</f>
        <v>2925.2949538088205</v>
      </c>
      <c r="T61" s="187">
        <v>0</v>
      </c>
      <c r="U61" s="187">
        <f>V60*Configurations!$C$48</f>
        <v>305.94320141860607</v>
      </c>
      <c r="V61" s="187">
        <f t="shared" si="23"/>
        <v>713.86746997674754</v>
      </c>
      <c r="W61" s="187">
        <v>0</v>
      </c>
      <c r="X61" s="187">
        <f>Y60*Configurations!$D$48</f>
        <v>58.30342722203433</v>
      </c>
      <c r="Y61" s="187">
        <f t="shared" si="24"/>
        <v>524.73084499830895</v>
      </c>
      <c r="Z61" s="188">
        <v>0</v>
      </c>
      <c r="AA61" s="187">
        <f>AB60*Configurations!$E$48</f>
        <v>302.85531369026938</v>
      </c>
      <c r="AB61" s="187">
        <f t="shared" si="25"/>
        <v>1211.4212547610773</v>
      </c>
      <c r="AC61" s="188">
        <f t="shared" si="26"/>
        <v>2258.1930114779111</v>
      </c>
      <c r="AD61" s="187">
        <f>AC61*Constants!$D$23</f>
        <v>225.81930114779112</v>
      </c>
      <c r="AE61" s="187">
        <f t="shared" si="20"/>
        <v>2699.4756526610295</v>
      </c>
      <c r="AF61" s="189">
        <f>AE61*(1+Constants!$D$20)^-H61</f>
        <v>1927.8644494161056</v>
      </c>
    </row>
    <row r="62" spans="8:32" x14ac:dyDescent="0.3">
      <c r="H62" s="172">
        <v>18</v>
      </c>
      <c r="I62" s="186">
        <f>I61*(1-Constants!$D$11)</f>
        <v>0.91372488601259316</v>
      </c>
      <c r="J62" s="173">
        <f t="shared" si="21"/>
        <v>1211.1782465337008</v>
      </c>
      <c r="K62" s="173">
        <f t="shared" si="22"/>
        <v>10659.716283713382</v>
      </c>
      <c r="L62" s="187">
        <f>IF(J62*'Grid Power'!K35&lt;0,0,J62*'Grid Power'!K35)</f>
        <v>318.45249620724258</v>
      </c>
      <c r="M62" s="188">
        <v>0</v>
      </c>
      <c r="N62" s="188">
        <f>N61*(1+Constants!$D$20)</f>
        <v>140.02414191924251</v>
      </c>
      <c r="O62" s="188">
        <v>0</v>
      </c>
      <c r="P62" s="188">
        <f>K62*'Grid Power'!L35</f>
        <v>1287.6810841677645</v>
      </c>
      <c r="Q62" s="188">
        <v>0</v>
      </c>
      <c r="R62" s="187">
        <f t="shared" si="19"/>
        <v>829.20444604127943</v>
      </c>
      <c r="S62" s="187">
        <f>R62+'Analysis (Nothing)'!D23</f>
        <v>3011.5161447400524</v>
      </c>
      <c r="T62" s="187">
        <v>0</v>
      </c>
      <c r="U62" s="187">
        <f>V61*Configurations!$C$48</f>
        <v>214.16024099302425</v>
      </c>
      <c r="V62" s="187">
        <f t="shared" si="23"/>
        <v>499.70722898372333</v>
      </c>
      <c r="W62" s="187">
        <v>0</v>
      </c>
      <c r="X62" s="187">
        <f>Y61*Configurations!$D$48</f>
        <v>52.473084499830897</v>
      </c>
      <c r="Y62" s="187">
        <f t="shared" si="24"/>
        <v>472.25776049847804</v>
      </c>
      <c r="Z62" s="188">
        <v>0</v>
      </c>
      <c r="AA62" s="187">
        <f>AB61*Configurations!$E$48</f>
        <v>242.28425095221547</v>
      </c>
      <c r="AB62" s="187">
        <f t="shared" si="25"/>
        <v>969.13700380886189</v>
      </c>
      <c r="AC62" s="188">
        <f t="shared" si="26"/>
        <v>2502.5985682949818</v>
      </c>
      <c r="AD62" s="187">
        <f>AC62*Constants!$D$23</f>
        <v>250.25985682949818</v>
      </c>
      <c r="AE62" s="187">
        <f t="shared" si="20"/>
        <v>2761.2562879105544</v>
      </c>
      <c r="AF62" s="189">
        <f>AE62*(1+Constants!$D$20)^-H62</f>
        <v>1933.319476663351</v>
      </c>
    </row>
    <row r="63" spans="8:32" x14ac:dyDescent="0.3">
      <c r="H63" s="172">
        <v>19</v>
      </c>
      <c r="I63" s="186">
        <f>I62*(1-Constants!$D$11)</f>
        <v>0.90915626158253016</v>
      </c>
      <c r="J63" s="173">
        <f t="shared" si="21"/>
        <v>1216.2721849430632</v>
      </c>
      <c r="K63" s="173">
        <f t="shared" si="22"/>
        <v>10606.417702294813</v>
      </c>
      <c r="L63" s="187">
        <f>IF(J63*'Grid Power'!K36&lt;0,0,J63*'Grid Power'!K36)</f>
        <v>334.89694700422132</v>
      </c>
      <c r="M63" s="188">
        <v>0</v>
      </c>
      <c r="N63" s="188">
        <f>N62*(1+Constants!$D$20)</f>
        <v>142.82462475762736</v>
      </c>
      <c r="O63" s="188">
        <v>0</v>
      </c>
      <c r="P63" s="188">
        <f>K63*'Grid Power'!L36</f>
        <v>1294.0551055343947</v>
      </c>
      <c r="Q63" s="188">
        <v>0</v>
      </c>
      <c r="R63" s="187">
        <f t="shared" si="19"/>
        <v>816.33353377254593</v>
      </c>
      <c r="S63" s="187">
        <f>R63+'Analysis (Nothing)'!D24</f>
        <v>3101.7249867909677</v>
      </c>
      <c r="T63" s="187">
        <v>0</v>
      </c>
      <c r="U63" s="187">
        <f>V62*Configurations!$C$48</f>
        <v>149.912168695117</v>
      </c>
      <c r="V63" s="187">
        <f t="shared" si="23"/>
        <v>349.79506028860635</v>
      </c>
      <c r="W63" s="187">
        <v>0</v>
      </c>
      <c r="X63" s="187">
        <f>Y62*Configurations!$D$48</f>
        <v>47.225776049847809</v>
      </c>
      <c r="Y63" s="187">
        <f t="shared" si="24"/>
        <v>425.03198444863023</v>
      </c>
      <c r="Z63" s="188">
        <v>0</v>
      </c>
      <c r="AA63" s="187">
        <f>AB62*Configurations!$E$48</f>
        <v>193.8274007617724</v>
      </c>
      <c r="AB63" s="187">
        <f t="shared" si="25"/>
        <v>775.30960304708947</v>
      </c>
      <c r="AC63" s="188">
        <f t="shared" si="26"/>
        <v>2710.7596412842304</v>
      </c>
      <c r="AD63" s="187">
        <f>AC63*Constants!$D$23</f>
        <v>271.07596412842304</v>
      </c>
      <c r="AE63" s="187">
        <f>S63-AD63</f>
        <v>2830.6490226625447</v>
      </c>
      <c r="AF63" s="189">
        <f>AE63*(1+Constants!$D$20)^-H63</f>
        <v>1943.0445592690783</v>
      </c>
    </row>
    <row r="64" spans="8:32" x14ac:dyDescent="0.3">
      <c r="H64" s="172">
        <v>20</v>
      </c>
      <c r="I64" s="186">
        <f>I63*(1-Constants!$D$11)</f>
        <v>0.90461048027461755</v>
      </c>
      <c r="J64" s="173">
        <f t="shared" si="21"/>
        <v>1221.3406536603784</v>
      </c>
      <c r="K64" s="173">
        <f t="shared" si="22"/>
        <v>10553.385613783341</v>
      </c>
      <c r="L64" s="187">
        <f>IF(J64*'Grid Power'!K37&lt;0,0,J64*'Grid Power'!K37)</f>
        <v>352.20756026610263</v>
      </c>
      <c r="M64" s="188">
        <v>0</v>
      </c>
      <c r="N64" s="188">
        <f>N63*(1+Constants!$D$20)</f>
        <v>145.6811172527799</v>
      </c>
      <c r="O64" s="188">
        <f>Configurations!$D$63+Configurations!$D$65</f>
        <v>11260.8</v>
      </c>
      <c r="P64" s="188">
        <f>K64*'Grid Power'!L37</f>
        <v>1300.4606783067902</v>
      </c>
      <c r="Q64" s="188">
        <v>0</v>
      </c>
      <c r="R64" s="187">
        <f t="shared" si="19"/>
        <v>-10458.227999212091</v>
      </c>
      <c r="S64" s="187">
        <f>R64+'Analysis (Nothing)'!D25</f>
        <v>-8064.6805235346274</v>
      </c>
      <c r="T64" s="187">
        <f>Configurations!$D$63/2</f>
        <v>3312</v>
      </c>
      <c r="U64" s="187">
        <f>V63*Configurations!$C$48</f>
        <v>104.93851808658191</v>
      </c>
      <c r="V64" s="187">
        <f t="shared" si="23"/>
        <v>3556.8565422020242</v>
      </c>
      <c r="W64" s="187">
        <v>0</v>
      </c>
      <c r="X64" s="187">
        <f>Y63*Configurations!$D$48</f>
        <v>42.503198444863024</v>
      </c>
      <c r="Y64" s="187">
        <f t="shared" si="24"/>
        <v>382.52878600376721</v>
      </c>
      <c r="Z64" s="187">
        <f>Configurations!$E$71/2</f>
        <v>2318.4</v>
      </c>
      <c r="AA64" s="187">
        <f>AB63*Configurations!$E$48</f>
        <v>155.06192060941791</v>
      </c>
      <c r="AB64" s="187">
        <f t="shared" si="25"/>
        <v>2938.6476824376714</v>
      </c>
      <c r="AC64" s="188">
        <f t="shared" si="26"/>
        <v>0</v>
      </c>
      <c r="AD64" s="187">
        <f>AC64*Constants!$D$23</f>
        <v>0</v>
      </c>
      <c r="AE64" s="187">
        <f>S64-AD64</f>
        <v>-8064.6805235346274</v>
      </c>
      <c r="AF64" s="189">
        <f>AE64*(1+Constants!$D$20)^-H64</f>
        <v>-5427.2988030136876</v>
      </c>
    </row>
    <row r="65" spans="8:32" x14ac:dyDescent="0.3">
      <c r="H65" s="172">
        <v>21</v>
      </c>
      <c r="I65" s="186">
        <f>I64*(1-Constants!$D$11)</f>
        <v>0.90008742787324447</v>
      </c>
      <c r="J65" s="173">
        <f t="shared" si="21"/>
        <v>1226.3837800341071</v>
      </c>
      <c r="K65" s="173">
        <f t="shared" si="22"/>
        <v>10500.618685714424</v>
      </c>
      <c r="L65" s="187">
        <f>IF(J65*'Grid Power'!K38&lt;0,0,J65*'Grid Power'!K38)</f>
        <v>370.43034323198623</v>
      </c>
      <c r="M65" s="188">
        <v>0</v>
      </c>
      <c r="N65" s="188">
        <f>N64*(1+Constants!$D$20)</f>
        <v>148.59473959783551</v>
      </c>
      <c r="O65" s="188">
        <v>0</v>
      </c>
      <c r="P65" s="188">
        <f>K65*'Grid Power'!L38</f>
        <v>1306.8979586644089</v>
      </c>
      <c r="Q65" s="188">
        <v>0</v>
      </c>
      <c r="R65" s="187">
        <f t="shared" si="19"/>
        <v>787.87287583458715</v>
      </c>
      <c r="S65" s="187">
        <f>R65+'Analysis (Nothing)'!D26</f>
        <v>3294.9075546149179</v>
      </c>
      <c r="T65" s="187">
        <f>Configurations!$D$63/2</f>
        <v>3312</v>
      </c>
      <c r="U65" s="187">
        <f>V64*Configurations!$C$48</f>
        <v>1067.0569626606073</v>
      </c>
      <c r="V65" s="187">
        <f t="shared" si="23"/>
        <v>5801.7995795414163</v>
      </c>
      <c r="W65" s="187">
        <v>0</v>
      </c>
      <c r="X65" s="187">
        <f>Y64*Configurations!$D$48</f>
        <v>38.252878600376725</v>
      </c>
      <c r="Y65" s="187">
        <f t="shared" si="24"/>
        <v>344.27590740339048</v>
      </c>
      <c r="Z65" s="187">
        <f>Configurations!$E$71/2</f>
        <v>2318.4</v>
      </c>
      <c r="AA65" s="187">
        <f>AB64*Configurations!$E$48</f>
        <v>587.72953648753435</v>
      </c>
      <c r="AB65" s="187">
        <f t="shared" si="25"/>
        <v>4669.3181459501366</v>
      </c>
      <c r="AC65" s="188">
        <f t="shared" si="26"/>
        <v>1601.8681768663994</v>
      </c>
      <c r="AD65" s="187">
        <f>AC65*Constants!$D$23</f>
        <v>160.18681768663996</v>
      </c>
      <c r="AE65" s="187">
        <f t="shared" ref="AE65:AE84" si="27">S65-AD65</f>
        <v>3134.7207369282778</v>
      </c>
      <c r="AF65" s="189">
        <f>AE65*(1+Constants!$D$20)^-H65</f>
        <v>2068.2129345608787</v>
      </c>
    </row>
    <row r="66" spans="8:32" x14ac:dyDescent="0.3">
      <c r="H66" s="172">
        <v>22</v>
      </c>
      <c r="I66" s="186">
        <f>I65*(1-Constants!$D$11)</f>
        <v>0.89558699073387826</v>
      </c>
      <c r="J66" s="173">
        <f t="shared" si="21"/>
        <v>1231.4016907759672</v>
      </c>
      <c r="K66" s="173">
        <f t="shared" si="22"/>
        <v>10448.115592285852</v>
      </c>
      <c r="L66" s="187">
        <f>IF(J66*'Grid Power'!K39&lt;0,0,J66*'Grid Power'!K39)</f>
        <v>389.61374896725283</v>
      </c>
      <c r="M66" s="188">
        <v>0</v>
      </c>
      <c r="N66" s="188">
        <f>N65*(1+Constants!$D$20)</f>
        <v>151.56663438979223</v>
      </c>
      <c r="O66" s="188">
        <v>0</v>
      </c>
      <c r="P66" s="188">
        <f>K66*'Grid Power'!L39</f>
        <v>1313.3671035597974</v>
      </c>
      <c r="Q66" s="188">
        <v>0</v>
      </c>
      <c r="R66" s="187">
        <f t="shared" si="19"/>
        <v>772.18672020275244</v>
      </c>
      <c r="S66" s="187">
        <f>R66+'Analysis (Nothing)'!D27</f>
        <v>3398.3076076447487</v>
      </c>
      <c r="T66" s="187">
        <v>0</v>
      </c>
      <c r="U66" s="187">
        <f>V65*Configurations!$C$48</f>
        <v>1740.5398738624249</v>
      </c>
      <c r="V66" s="187">
        <f t="shared" si="23"/>
        <v>4061.2597056789914</v>
      </c>
      <c r="W66" s="187">
        <v>0</v>
      </c>
      <c r="X66" s="187">
        <f>Y65*Configurations!$D$48</f>
        <v>34.427590740339049</v>
      </c>
      <c r="Y66" s="187">
        <f t="shared" si="24"/>
        <v>309.84831666305143</v>
      </c>
      <c r="Z66" s="188">
        <v>0</v>
      </c>
      <c r="AA66" s="187">
        <f>AB65*Configurations!$E$48</f>
        <v>933.86362919002738</v>
      </c>
      <c r="AB66" s="187">
        <f t="shared" si="25"/>
        <v>3735.4545167601091</v>
      </c>
      <c r="AC66" s="188">
        <f t="shared" si="26"/>
        <v>689.47651385195741</v>
      </c>
      <c r="AD66" s="187">
        <f>AC66*Constants!$D$23</f>
        <v>68.947651385195741</v>
      </c>
      <c r="AE66" s="187">
        <f t="shared" si="27"/>
        <v>3329.3599562595527</v>
      </c>
      <c r="AF66" s="189">
        <f>AE66*(1+Constants!$D$20)^-H66</f>
        <v>2153.5599847756403</v>
      </c>
    </row>
    <row r="67" spans="8:32" x14ac:dyDescent="0.3">
      <c r="H67" s="172">
        <v>23</v>
      </c>
      <c r="I67" s="186">
        <f>I66*(1-Constants!$D$11)</f>
        <v>0.89110905578020883</v>
      </c>
      <c r="J67" s="173">
        <f t="shared" si="21"/>
        <v>1236.394511964118</v>
      </c>
      <c r="K67" s="173">
        <f t="shared" si="22"/>
        <v>10395.875014324421</v>
      </c>
      <c r="L67" s="187">
        <f>IF(J67*'Grid Power'!K40&lt;0,0,J67*'Grid Power'!K40)</f>
        <v>409.80880604366615</v>
      </c>
      <c r="M67" s="188">
        <v>0</v>
      </c>
      <c r="N67" s="188">
        <f>N66*(1+Constants!$D$20)</f>
        <v>154.59796707758807</v>
      </c>
      <c r="O67" s="188">
        <v>0</v>
      </c>
      <c r="P67" s="188">
        <f>K67*'Grid Power'!L40</f>
        <v>1319.8682707224184</v>
      </c>
      <c r="Q67" s="188">
        <v>0</v>
      </c>
      <c r="R67" s="187">
        <f t="shared" si="19"/>
        <v>755.46149760116418</v>
      </c>
      <c r="S67" s="187">
        <f>R67+'Analysis (Nothing)'!D28</f>
        <v>3506.5489940275356</v>
      </c>
      <c r="T67" s="187">
        <v>0</v>
      </c>
      <c r="U67" s="187">
        <f>V66*Configurations!$C$48</f>
        <v>1218.3779117036975</v>
      </c>
      <c r="V67" s="187">
        <f t="shared" si="23"/>
        <v>2842.8817939752939</v>
      </c>
      <c r="W67" s="187">
        <v>0</v>
      </c>
      <c r="X67" s="187">
        <f>Y66*Configurations!$D$48</f>
        <v>30.984831666305144</v>
      </c>
      <c r="Y67" s="187">
        <f t="shared" si="24"/>
        <v>278.86348499674631</v>
      </c>
      <c r="Z67" s="188">
        <v>0</v>
      </c>
      <c r="AA67" s="187">
        <f>AB66*Configurations!$E$48</f>
        <v>747.09090335202188</v>
      </c>
      <c r="AB67" s="187">
        <f t="shared" si="25"/>
        <v>2988.3636134080871</v>
      </c>
      <c r="AC67" s="188">
        <f t="shared" si="26"/>
        <v>1510.095347305511</v>
      </c>
      <c r="AD67" s="187">
        <f>AC67*Constants!$D$23</f>
        <v>151.00953473055111</v>
      </c>
      <c r="AE67" s="187">
        <f t="shared" si="27"/>
        <v>3355.5394592969847</v>
      </c>
      <c r="AF67" s="189">
        <f>AE67*(1+Constants!$D$20)^-H67</f>
        <v>2127.9352051810611</v>
      </c>
    </row>
    <row r="68" spans="8:32" x14ac:dyDescent="0.3">
      <c r="H68" s="172">
        <v>24</v>
      </c>
      <c r="I68" s="186">
        <f>I67*(1-Constants!$D$11)</f>
        <v>0.88665351050130781</v>
      </c>
      <c r="J68" s="173">
        <f t="shared" si="21"/>
        <v>1241.362369046328</v>
      </c>
      <c r="K68" s="173">
        <f t="shared" si="22"/>
        <v>10343.8956392528</v>
      </c>
      <c r="L68" s="187">
        <f>IF(J68*'Grid Power'!K41&lt;0,0,J68*'Grid Power'!K41)</f>
        <v>431.06925506877116</v>
      </c>
      <c r="M68" s="188">
        <v>0</v>
      </c>
      <c r="N68" s="188">
        <f>N67*(1+Constants!$D$20)</f>
        <v>157.68992641913982</v>
      </c>
      <c r="O68" s="188">
        <v>0</v>
      </c>
      <c r="P68" s="188">
        <f>K68*'Grid Power'!L41</f>
        <v>1326.4016186624945</v>
      </c>
      <c r="Q68" s="188">
        <v>0</v>
      </c>
      <c r="R68" s="187">
        <f t="shared" si="19"/>
        <v>737.64243717458351</v>
      </c>
      <c r="S68" s="187">
        <f>R68+'Analysis (Nothing)'!D29</f>
        <v>3619.8725974054801</v>
      </c>
      <c r="T68" s="187">
        <v>0</v>
      </c>
      <c r="U68" s="187">
        <f>V67*Configurations!$C$48</f>
        <v>852.86453819258816</v>
      </c>
      <c r="V68" s="187">
        <f t="shared" si="23"/>
        <v>1990.0172557827059</v>
      </c>
      <c r="W68" s="187">
        <v>0</v>
      </c>
      <c r="X68" s="187">
        <f>Y67*Configurations!$D$48</f>
        <v>27.886348499674632</v>
      </c>
      <c r="Y68" s="187">
        <f t="shared" si="24"/>
        <v>250.97713649707168</v>
      </c>
      <c r="Z68" s="188">
        <v>0</v>
      </c>
      <c r="AA68" s="187">
        <f>AB67*Configurations!$E$48</f>
        <v>597.67272268161742</v>
      </c>
      <c r="AB68" s="187">
        <f t="shared" si="25"/>
        <v>2390.6908907264697</v>
      </c>
      <c r="AC68" s="188">
        <f t="shared" si="26"/>
        <v>2141.4489880316</v>
      </c>
      <c r="AD68" s="187">
        <f>AC68*Constants!$D$23</f>
        <v>214.14489880316</v>
      </c>
      <c r="AE68" s="187">
        <f t="shared" si="27"/>
        <v>3405.7276986023198</v>
      </c>
      <c r="AF68" s="189">
        <f>AE68*(1+Constants!$D$20)^-H68</f>
        <v>2117.4140922895722</v>
      </c>
    </row>
    <row r="69" spans="8:32" x14ac:dyDescent="0.3">
      <c r="H69" s="172">
        <v>25</v>
      </c>
      <c r="I69" s="186">
        <f>I68*(1-Constants!$D$11)</f>
        <v>0.8822202429488013</v>
      </c>
      <c r="J69" s="173">
        <f t="shared" si="21"/>
        <v>1246.3053868431271</v>
      </c>
      <c r="K69" s="173">
        <f t="shared" si="22"/>
        <v>10292.176161056537</v>
      </c>
      <c r="L69" s="187">
        <f>IF(J69*'Grid Power'!K42&lt;0,0,J69*'Grid Power'!K42)</f>
        <v>453.45169242490402</v>
      </c>
      <c r="M69" s="188">
        <v>0</v>
      </c>
      <c r="N69" s="188">
        <f>N68*(1+Constants!$D$20)</f>
        <v>160.84372494752262</v>
      </c>
      <c r="O69" s="188">
        <v>0</v>
      </c>
      <c r="P69" s="188">
        <f>K69*'Grid Power'!L42</f>
        <v>1332.967306674874</v>
      </c>
      <c r="Q69" s="188">
        <v>0</v>
      </c>
      <c r="R69" s="187">
        <f t="shared" si="19"/>
        <v>718.67188930244731</v>
      </c>
      <c r="S69" s="187">
        <f>R69+'Analysis (Nothing)'!D30</f>
        <v>3738.5314076246086</v>
      </c>
      <c r="T69" s="187">
        <v>0</v>
      </c>
      <c r="U69" s="187">
        <f>V68*Configurations!$C$48</f>
        <v>597.0051767348117</v>
      </c>
      <c r="V69" s="187">
        <f t="shared" si="23"/>
        <v>1393.0120790478941</v>
      </c>
      <c r="W69" s="187">
        <v>0</v>
      </c>
      <c r="X69" s="187">
        <f>Y68*Configurations!$D$48</f>
        <v>25.09771364970717</v>
      </c>
      <c r="Y69" s="187">
        <f t="shared" si="24"/>
        <v>225.87942284736451</v>
      </c>
      <c r="Z69" s="188">
        <v>0</v>
      </c>
      <c r="AA69" s="187">
        <f>AB68*Configurations!$E$48</f>
        <v>478.13817814529398</v>
      </c>
      <c r="AB69" s="187">
        <f t="shared" si="25"/>
        <v>1912.5527125811757</v>
      </c>
      <c r="AC69" s="188">
        <f t="shared" si="26"/>
        <v>2638.2903390947959</v>
      </c>
      <c r="AD69" s="187">
        <f>AC69*Constants!$D$23</f>
        <v>263.82903390947962</v>
      </c>
      <c r="AE69" s="187">
        <f t="shared" si="27"/>
        <v>3474.7023737151289</v>
      </c>
      <c r="AF69" s="189">
        <f>AE69*(1+Constants!$D$20)^-H69</f>
        <v>2117.9383626772615</v>
      </c>
    </row>
    <row r="70" spans="8:32" x14ac:dyDescent="0.3">
      <c r="H70" s="172">
        <v>26</v>
      </c>
      <c r="I70" s="186">
        <f>I69*(1-Constants!$D$11)</f>
        <v>0.87780914173405733</v>
      </c>
      <c r="J70" s="173">
        <f t="shared" si="21"/>
        <v>1251.223689550942</v>
      </c>
      <c r="K70" s="173">
        <f t="shared" si="22"/>
        <v>10240.715280251254</v>
      </c>
      <c r="L70" s="187">
        <f>IF(J70*'Grid Power'!K43&lt;0,0,J70*'Grid Power'!K43)</f>
        <v>477.01572159701379</v>
      </c>
      <c r="M70" s="188">
        <v>0</v>
      </c>
      <c r="N70" s="188">
        <f>N69*(1+Constants!$D$20)</f>
        <v>164.06059944647308</v>
      </c>
      <c r="O70" s="188">
        <v>0</v>
      </c>
      <c r="P70" s="188">
        <f>K70*'Grid Power'!L43</f>
        <v>1339.5654948429144</v>
      </c>
      <c r="Q70" s="188">
        <v>0</v>
      </c>
      <c r="R70" s="187">
        <f t="shared" si="19"/>
        <v>698.48917379942759</v>
      </c>
      <c r="S70" s="187">
        <f>R70+'Analysis (Nothing)'!D31</f>
        <v>3862.7911311137377</v>
      </c>
      <c r="T70" s="187">
        <v>0</v>
      </c>
      <c r="U70" s="187">
        <f>V69*Configurations!$C$48</f>
        <v>417.90362371436822</v>
      </c>
      <c r="V70" s="187">
        <f t="shared" si="23"/>
        <v>975.10845533352585</v>
      </c>
      <c r="W70" s="187">
        <v>0</v>
      </c>
      <c r="X70" s="187">
        <f>Y69*Configurations!$D$48</f>
        <v>22.587942284736453</v>
      </c>
      <c r="Y70" s="187">
        <f t="shared" si="24"/>
        <v>203.29148056262807</v>
      </c>
      <c r="Z70" s="188">
        <v>0</v>
      </c>
      <c r="AA70" s="187">
        <f>AB69*Configurations!$E$48</f>
        <v>382.51054251623515</v>
      </c>
      <c r="AB70" s="187">
        <f t="shared" si="25"/>
        <v>1530.0421700649406</v>
      </c>
      <c r="AC70" s="188">
        <f t="shared" si="26"/>
        <v>3039.7890225983979</v>
      </c>
      <c r="AD70" s="187">
        <f>AC70*Constants!$D$23</f>
        <v>303.9789022598398</v>
      </c>
      <c r="AE70" s="187">
        <f t="shared" si="27"/>
        <v>3558.812228853898</v>
      </c>
      <c r="AF70" s="189">
        <f>AE70*(1+Constants!$D$20)^-H70</f>
        <v>2126.6724665686297</v>
      </c>
    </row>
    <row r="71" spans="8:32" x14ac:dyDescent="0.3">
      <c r="H71" s="172">
        <v>27</v>
      </c>
      <c r="I71" s="186">
        <f>I70*(1-Constants!$D$11)</f>
        <v>0.87342009602538706</v>
      </c>
      <c r="J71" s="173">
        <f t="shared" si="21"/>
        <v>1256.117400745218</v>
      </c>
      <c r="K71" s="173">
        <f t="shared" si="22"/>
        <v>10189.511703849999</v>
      </c>
      <c r="L71" s="187">
        <f>IF(J71*'Grid Power'!K44&lt;0,0,J71*'Grid Power'!K44)</f>
        <v>501.82411248836553</v>
      </c>
      <c r="M71" s="188">
        <v>0</v>
      </c>
      <c r="N71" s="188">
        <f>N70*(1+Constants!$D$20)</f>
        <v>167.34181143540255</v>
      </c>
      <c r="O71" s="188">
        <v>0</v>
      </c>
      <c r="P71" s="188">
        <f>K71*'Grid Power'!L44</f>
        <v>1346.1963440423872</v>
      </c>
      <c r="Q71" s="188">
        <v>0</v>
      </c>
      <c r="R71" s="187">
        <f t="shared" si="19"/>
        <v>677.03042011861908</v>
      </c>
      <c r="S71" s="187">
        <f>R71+'Analysis (Nothing)'!D32</f>
        <v>3992.9308320919467</v>
      </c>
      <c r="T71" s="187">
        <v>0</v>
      </c>
      <c r="U71" s="187">
        <f>V70*Configurations!$C$48</f>
        <v>292.53253660005777</v>
      </c>
      <c r="V71" s="187">
        <f t="shared" si="23"/>
        <v>682.57591873346814</v>
      </c>
      <c r="W71" s="187">
        <v>0</v>
      </c>
      <c r="X71" s="187">
        <f>Y70*Configurations!$D$48</f>
        <v>20.32914805626281</v>
      </c>
      <c r="Y71" s="187">
        <f t="shared" si="24"/>
        <v>182.96233250636527</v>
      </c>
      <c r="Z71" s="188">
        <v>0</v>
      </c>
      <c r="AA71" s="187">
        <f>AB70*Configurations!$E$48</f>
        <v>306.00843401298812</v>
      </c>
      <c r="AB71" s="187">
        <f t="shared" si="25"/>
        <v>1224.0337360519525</v>
      </c>
      <c r="AC71" s="188">
        <f t="shared" si="26"/>
        <v>3374.0607134226375</v>
      </c>
      <c r="AD71" s="187">
        <f>AC71*Constants!$D$23</f>
        <v>337.40607134226377</v>
      </c>
      <c r="AE71" s="187">
        <f t="shared" si="27"/>
        <v>3655.5247607496831</v>
      </c>
      <c r="AF71" s="189">
        <f>AE71*(1+Constants!$D$20)^-H71</f>
        <v>2141.6332080521283</v>
      </c>
    </row>
    <row r="72" spans="8:32" x14ac:dyDescent="0.3">
      <c r="H72" s="172">
        <v>28</v>
      </c>
      <c r="I72" s="186">
        <f>I71*(1-Constants!$D$11)</f>
        <v>0.86905299554526017</v>
      </c>
      <c r="J72" s="173">
        <f t="shared" si="21"/>
        <v>1260.9866433835225</v>
      </c>
      <c r="K72" s="173">
        <f t="shared" si="22"/>
        <v>10138.564145330749</v>
      </c>
      <c r="L72" s="187">
        <f>IF(J72*'Grid Power'!K45&lt;0,0,J72*'Grid Power'!K45)</f>
        <v>527.94296914410654</v>
      </c>
      <c r="M72" s="188">
        <v>0</v>
      </c>
      <c r="N72" s="188">
        <f>N71*(1+Constants!$D$20)</f>
        <v>170.68864766411059</v>
      </c>
      <c r="O72" s="188">
        <v>0</v>
      </c>
      <c r="P72" s="188">
        <f>K72*'Grid Power'!L45</f>
        <v>1352.860015945397</v>
      </c>
      <c r="Q72" s="188">
        <v>0</v>
      </c>
      <c r="R72" s="187">
        <f t="shared" si="19"/>
        <v>654.22839913717985</v>
      </c>
      <c r="S72" s="187">
        <f>R72+'Analysis (Nothing)'!D33</f>
        <v>4129.2436061635271</v>
      </c>
      <c r="T72" s="187">
        <v>0</v>
      </c>
      <c r="U72" s="187">
        <f>V71*Configurations!$C$48</f>
        <v>204.77277562004045</v>
      </c>
      <c r="V72" s="187">
        <f t="shared" si="23"/>
        <v>477.80314311342772</v>
      </c>
      <c r="W72" s="187">
        <v>0</v>
      </c>
      <c r="X72" s="187">
        <f>Y71*Configurations!$D$48</f>
        <v>18.296233250636529</v>
      </c>
      <c r="Y72" s="187">
        <f t="shared" si="24"/>
        <v>164.66609925572874</v>
      </c>
      <c r="Z72" s="188">
        <v>0</v>
      </c>
      <c r="AA72" s="187">
        <f>AB71*Configurations!$E$48</f>
        <v>244.80674721039051</v>
      </c>
      <c r="AB72" s="187">
        <f t="shared" si="25"/>
        <v>979.22698884156193</v>
      </c>
      <c r="AC72" s="188">
        <f t="shared" si="26"/>
        <v>3661.3678500824599</v>
      </c>
      <c r="AD72" s="187">
        <f>AC72*Constants!$D$23</f>
        <v>366.13678500824602</v>
      </c>
      <c r="AE72" s="187">
        <f t="shared" si="27"/>
        <v>3763.1068211552811</v>
      </c>
      <c r="AF72" s="189">
        <f>AE72*(1+Constants!$D$20)^-H72</f>
        <v>2161.4327978960619</v>
      </c>
    </row>
    <row r="73" spans="8:32" x14ac:dyDescent="0.3">
      <c r="H73" s="172">
        <v>29</v>
      </c>
      <c r="I73" s="186">
        <f>I72*(1-Constants!$D$11)</f>
        <v>0.86470773056753381</v>
      </c>
      <c r="J73" s="173">
        <f t="shared" si="21"/>
        <v>1265.8315398086356</v>
      </c>
      <c r="K73" s="173">
        <f t="shared" si="22"/>
        <v>10087.871324604095</v>
      </c>
      <c r="L73" s="187">
        <f>IF(J73*'Grid Power'!K46&lt;0,0,J73*'Grid Power'!K46)</f>
        <v>555.44190632467314</v>
      </c>
      <c r="M73" s="188">
        <v>0</v>
      </c>
      <c r="N73" s="188">
        <f>N72*(1+Constants!$D$20)</f>
        <v>174.1024206173928</v>
      </c>
      <c r="O73" s="188">
        <v>0</v>
      </c>
      <c r="P73" s="188">
        <f>K73*'Grid Power'!L46</f>
        <v>1359.5566730243265</v>
      </c>
      <c r="Q73" s="188">
        <v>0</v>
      </c>
      <c r="R73" s="187">
        <f t="shared" si="19"/>
        <v>630.01234608226059</v>
      </c>
      <c r="S73" s="187">
        <f>R73+'Analysis (Nothing)'!D34</f>
        <v>4272.037287938263</v>
      </c>
      <c r="T73" s="187">
        <v>0</v>
      </c>
      <c r="U73" s="187">
        <f>V72*Configurations!$C$48</f>
        <v>143.34094293402831</v>
      </c>
      <c r="V73" s="187">
        <f t="shared" si="23"/>
        <v>334.46220017939942</v>
      </c>
      <c r="W73" s="187">
        <v>0</v>
      </c>
      <c r="X73" s="187">
        <f>Y72*Configurations!$D$48</f>
        <v>16.466609925572875</v>
      </c>
      <c r="Y73" s="187">
        <f t="shared" si="24"/>
        <v>148.19948933015587</v>
      </c>
      <c r="Z73" s="188">
        <v>0</v>
      </c>
      <c r="AA73" s="187">
        <f>AB72*Configurations!$E$48</f>
        <v>195.84539776831241</v>
      </c>
      <c r="AB73" s="187">
        <f t="shared" si="25"/>
        <v>783.38159107324952</v>
      </c>
      <c r="AC73" s="188">
        <f t="shared" si="26"/>
        <v>3916.3843373103496</v>
      </c>
      <c r="AD73" s="187">
        <f>AC73*Constants!$D$23</f>
        <v>391.63843373103498</v>
      </c>
      <c r="AE73" s="187">
        <f t="shared" si="27"/>
        <v>3880.3988542072279</v>
      </c>
      <c r="AF73" s="189">
        <f>AE73*(1+Constants!$D$20)^-H73</f>
        <v>2185.1003499395929</v>
      </c>
    </row>
    <row r="74" spans="8:32" x14ac:dyDescent="0.3">
      <c r="H74" s="172">
        <v>30</v>
      </c>
      <c r="I74" s="186">
        <f>I73*(1-Constants!$D$11)</f>
        <v>0.86038419191469617</v>
      </c>
      <c r="J74" s="173">
        <f t="shared" si="21"/>
        <v>1270.6522117516231</v>
      </c>
      <c r="K74" s="173">
        <f t="shared" si="22"/>
        <v>10037.431967981074</v>
      </c>
      <c r="L74" s="187">
        <f>IF(J74*'Grid Power'!K47&lt;0,0,J74*'Grid Power'!K47)</f>
        <v>584.39423539417066</v>
      </c>
      <c r="M74" s="188">
        <v>0</v>
      </c>
      <c r="N74" s="188">
        <f>N73*(1+Constants!$D$20)</f>
        <v>177.58446902974066</v>
      </c>
      <c r="O74" s="188">
        <f>Configurations!$D$63+Configurations!$D$65</f>
        <v>11260.8</v>
      </c>
      <c r="P74" s="188">
        <f>K74*'Grid Power'!L47</f>
        <v>1366.286478555797</v>
      </c>
      <c r="Q74" s="188">
        <v>0</v>
      </c>
      <c r="R74" s="187">
        <f t="shared" si="19"/>
        <v>-10656.492225868113</v>
      </c>
      <c r="S74" s="187">
        <f>R74+'Analysis (Nothing)'!D35</f>
        <v>-6839.1648056021731</v>
      </c>
      <c r="T74" s="187">
        <f>Configurations!$D$63/2</f>
        <v>3312</v>
      </c>
      <c r="U74" s="187">
        <f>V73*Configurations!$C$48</f>
        <v>100.33866005381982</v>
      </c>
      <c r="V74" s="187">
        <f t="shared" si="23"/>
        <v>3546.1235401255799</v>
      </c>
      <c r="W74" s="187">
        <v>0</v>
      </c>
      <c r="X74" s="187">
        <f>Y73*Configurations!$D$48</f>
        <v>14.819948933015588</v>
      </c>
      <c r="Y74" s="187">
        <f t="shared" si="24"/>
        <v>133.37954039714029</v>
      </c>
      <c r="Z74" s="187">
        <f>Configurations!$E$71/2</f>
        <v>2318.4</v>
      </c>
      <c r="AA74" s="187">
        <f>AB73*Configurations!$E$48</f>
        <v>156.67631821464991</v>
      </c>
      <c r="AB74" s="187">
        <f t="shared" si="25"/>
        <v>2945.1052728585996</v>
      </c>
      <c r="AC74" s="188">
        <f t="shared" si="26"/>
        <v>0</v>
      </c>
      <c r="AD74" s="187">
        <f>AC74*Constants!$D$23</f>
        <v>0</v>
      </c>
      <c r="AE74" s="187">
        <f t="shared" si="27"/>
        <v>-6839.1648056021731</v>
      </c>
      <c r="AF74" s="189">
        <f>AE74*(1+Constants!$D$20)^-H74</f>
        <v>-3775.7037941089184</v>
      </c>
    </row>
    <row r="75" spans="8:32" x14ac:dyDescent="0.3">
      <c r="H75" s="172">
        <v>31</v>
      </c>
      <c r="I75" s="186">
        <f>I74*(1-Constants!$D$11)</f>
        <v>0.85608227095512268</v>
      </c>
      <c r="J75" s="173">
        <f t="shared" si="21"/>
        <v>1275.4487803348957</v>
      </c>
      <c r="K75" s="173">
        <f t="shared" si="22"/>
        <v>9987.2448081411694</v>
      </c>
      <c r="L75" s="187">
        <f>IF(J75*'Grid Power'!K48&lt;0,0,J75*'Grid Power'!K48)</f>
        <v>614.87716001321292</v>
      </c>
      <c r="M75" s="188">
        <v>0</v>
      </c>
      <c r="N75" s="188">
        <f>N74*(1+Constants!$D$20)</f>
        <v>181.13615841033547</v>
      </c>
      <c r="O75" s="188">
        <v>0</v>
      </c>
      <c r="P75" s="188">
        <f>K75*'Grid Power'!L48</f>
        <v>1373.0495966246481</v>
      </c>
      <c r="Q75" s="188">
        <v>0</v>
      </c>
      <c r="R75" s="187">
        <f t="shared" si="19"/>
        <v>577.03627820109966</v>
      </c>
      <c r="S75" s="187">
        <f>R75+'Analysis (Nothing)'!D36</f>
        <v>4578.3769058161388</v>
      </c>
      <c r="T75" s="187">
        <f>Configurations!$D$63/2</f>
        <v>3312</v>
      </c>
      <c r="U75" s="187">
        <f>V74*Configurations!$C$48</f>
        <v>1063.8370620376738</v>
      </c>
      <c r="V75" s="187">
        <f t="shared" si="23"/>
        <v>5794.2864780879063</v>
      </c>
      <c r="W75" s="187">
        <v>0</v>
      </c>
      <c r="X75" s="187">
        <f>Y74*Configurations!$D$48</f>
        <v>13.337954039714029</v>
      </c>
      <c r="Y75" s="187">
        <f t="shared" si="24"/>
        <v>120.04158635742625</v>
      </c>
      <c r="Z75" s="187">
        <f>Configurations!$E$71/2</f>
        <v>2318.4</v>
      </c>
      <c r="AA75" s="187">
        <f>AB74*Configurations!$E$48</f>
        <v>589.0210545717199</v>
      </c>
      <c r="AB75" s="187">
        <f t="shared" si="25"/>
        <v>4674.4842182868797</v>
      </c>
      <c r="AC75" s="188">
        <f t="shared" si="26"/>
        <v>2912.1808351670306</v>
      </c>
      <c r="AD75" s="187">
        <f>AC75*Constants!$D$23</f>
        <v>291.21808351670308</v>
      </c>
      <c r="AE75" s="187">
        <f t="shared" si="27"/>
        <v>4287.158822299436</v>
      </c>
      <c r="AF75" s="189">
        <f>AE75*(1+Constants!$D$20)^-H75</f>
        <v>2320.4074335538462</v>
      </c>
    </row>
    <row r="76" spans="8:32" x14ac:dyDescent="0.3">
      <c r="H76" s="172">
        <v>32</v>
      </c>
      <c r="I76" s="186">
        <f>I75*(1-Constants!$D$11)</f>
        <v>0.85180185960034704</v>
      </c>
      <c r="J76" s="173">
        <f t="shared" si="21"/>
        <v>1280.2213660752518</v>
      </c>
      <c r="K76" s="173">
        <f t="shared" si="22"/>
        <v>9937.3085841004631</v>
      </c>
      <c r="L76" s="187">
        <f>IF(J76*'Grid Power'!K49&lt;0,0,J76*'Grid Power'!K49)</f>
        <v>646.97198215133744</v>
      </c>
      <c r="M76" s="188">
        <v>0</v>
      </c>
      <c r="N76" s="188">
        <f>N75*(1+Constants!$D$20)</f>
        <v>184.75888157854217</v>
      </c>
      <c r="O76" s="188">
        <v>0</v>
      </c>
      <c r="P76" s="188">
        <f>K76*'Grid Power'!L49</f>
        <v>1379.8461921279402</v>
      </c>
      <c r="Q76" s="188">
        <v>0</v>
      </c>
      <c r="R76" s="187">
        <f t="shared" si="19"/>
        <v>548.11532839806057</v>
      </c>
      <c r="S76" s="187">
        <f>R76+'Analysis (Nothing)'!D37</f>
        <v>4742.6190861331452</v>
      </c>
      <c r="T76" s="187">
        <v>0</v>
      </c>
      <c r="U76" s="187">
        <f>V75*Configurations!$C$48</f>
        <v>1738.2859434263719</v>
      </c>
      <c r="V76" s="187">
        <f t="shared" si="23"/>
        <v>4056.0005346615344</v>
      </c>
      <c r="W76" s="187">
        <v>0</v>
      </c>
      <c r="X76" s="187">
        <f>Y75*Configurations!$D$48</f>
        <v>12.004158635742627</v>
      </c>
      <c r="Y76" s="187">
        <f t="shared" si="24"/>
        <v>108.03742772168363</v>
      </c>
      <c r="Z76" s="188">
        <v>0</v>
      </c>
      <c r="AA76" s="187">
        <f>AB75*Configurations!$E$48</f>
        <v>934.89684365737594</v>
      </c>
      <c r="AB76" s="187">
        <f t="shared" si="25"/>
        <v>3739.5873746295038</v>
      </c>
      <c r="AC76" s="188">
        <f t="shared" si="26"/>
        <v>2057.4321404136549</v>
      </c>
      <c r="AD76" s="187">
        <f>AC76*Constants!$D$23</f>
        <v>205.74321404136549</v>
      </c>
      <c r="AE76" s="187">
        <f t="shared" si="27"/>
        <v>4536.8758720917795</v>
      </c>
      <c r="AF76" s="189">
        <f>AE76*(1+Constants!$D$20)^-H76</f>
        <v>2407.4174316582298</v>
      </c>
    </row>
    <row r="77" spans="8:32" x14ac:dyDescent="0.3">
      <c r="H77" s="172">
        <v>33</v>
      </c>
      <c r="I77" s="186">
        <f>I76*(1-Constants!$D$11)</f>
        <v>0.84754285030234533</v>
      </c>
      <c r="J77" s="173">
        <f t="shared" si="21"/>
        <v>1284.9700888869063</v>
      </c>
      <c r="K77" s="173">
        <f t="shared" si="22"/>
        <v>9887.6220411799604</v>
      </c>
      <c r="L77" s="187">
        <f>IF(J77*'Grid Power'!K50&lt;0,0,J77*'Grid Power'!K50)</f>
        <v>680.76431896108625</v>
      </c>
      <c r="M77" s="188">
        <v>0</v>
      </c>
      <c r="N77" s="188">
        <f>N76*(1+Constants!$D$20)</f>
        <v>188.45405921011303</v>
      </c>
      <c r="O77" s="188">
        <v>0</v>
      </c>
      <c r="P77" s="188">
        <f>K77*'Grid Power'!L50</f>
        <v>1386.6764307789736</v>
      </c>
      <c r="Q77" s="188">
        <v>0</v>
      </c>
      <c r="R77" s="187">
        <f t="shared" si="19"/>
        <v>517.45805260777433</v>
      </c>
      <c r="S77" s="187">
        <f>R77+'Analysis (Nothing)'!D38</f>
        <v>4914.7363447774842</v>
      </c>
      <c r="T77" s="187">
        <v>0</v>
      </c>
      <c r="U77" s="187">
        <f>V76*Configurations!$C$48</f>
        <v>1216.8001603984603</v>
      </c>
      <c r="V77" s="187">
        <f t="shared" si="23"/>
        <v>2839.2003742630741</v>
      </c>
      <c r="W77" s="187">
        <v>0</v>
      </c>
      <c r="X77" s="187">
        <f>Y76*Configurations!$D$48</f>
        <v>10.803742772168363</v>
      </c>
      <c r="Y77" s="187">
        <f t="shared" si="24"/>
        <v>97.233684949515265</v>
      </c>
      <c r="Z77" s="188">
        <v>0</v>
      </c>
      <c r="AA77" s="187">
        <f>AB76*Configurations!$E$48</f>
        <v>747.91747492590082</v>
      </c>
      <c r="AB77" s="187">
        <f t="shared" si="25"/>
        <v>2991.6698997036028</v>
      </c>
      <c r="AC77" s="188">
        <f t="shared" si="26"/>
        <v>2939.2149666809546</v>
      </c>
      <c r="AD77" s="187">
        <f>AC77*Constants!$D$23</f>
        <v>293.92149666809547</v>
      </c>
      <c r="AE77" s="187">
        <f t="shared" si="27"/>
        <v>4620.8148481093885</v>
      </c>
      <c r="AF77" s="189">
        <f>AE77*(1+Constants!$D$20)^-H77</f>
        <v>2403.8806350944651</v>
      </c>
    </row>
    <row r="78" spans="8:32" x14ac:dyDescent="0.3">
      <c r="H78" s="172">
        <v>34</v>
      </c>
      <c r="I78" s="186">
        <f>I77*(1-Constants!$D$11)</f>
        <v>0.84330513605083357</v>
      </c>
      <c r="J78" s="173">
        <f t="shared" si="21"/>
        <v>1289.6950680845021</v>
      </c>
      <c r="K78" s="173">
        <f t="shared" si="22"/>
        <v>9838.1839309740608</v>
      </c>
      <c r="L78" s="187">
        <f>IF(J78*'Grid Power'!K51&lt;0,0,J78*'Grid Power'!K51)</f>
        <v>716.3443310842049</v>
      </c>
      <c r="M78" s="188">
        <v>0</v>
      </c>
      <c r="N78" s="188">
        <f>N77*(1+Constants!$D$20)</f>
        <v>192.22314039431529</v>
      </c>
      <c r="O78" s="188">
        <v>0</v>
      </c>
      <c r="P78" s="188">
        <f>K78*'Grid Power'!L51</f>
        <v>1393.5404791113294</v>
      </c>
      <c r="Q78" s="188">
        <v>0</v>
      </c>
      <c r="R78" s="187">
        <f t="shared" si="19"/>
        <v>484.97300763280919</v>
      </c>
      <c r="S78" s="187">
        <f>R78+'Analysis (Nothing)'!D39</f>
        <v>5095.1221420346919</v>
      </c>
      <c r="T78" s="187">
        <v>0</v>
      </c>
      <c r="U78" s="187">
        <f>V77*Configurations!$C$48</f>
        <v>851.76011227892218</v>
      </c>
      <c r="V78" s="187">
        <f t="shared" si="23"/>
        <v>1987.4402619841519</v>
      </c>
      <c r="W78" s="187">
        <v>0</v>
      </c>
      <c r="X78" s="187">
        <f>Y77*Configurations!$D$48</f>
        <v>9.7233684949515276</v>
      </c>
      <c r="Y78" s="187">
        <f t="shared" si="24"/>
        <v>87.510316454563736</v>
      </c>
      <c r="Z78" s="188">
        <v>0</v>
      </c>
      <c r="AA78" s="187">
        <f>AB77*Configurations!$E$48</f>
        <v>598.33397994072061</v>
      </c>
      <c r="AB78" s="187">
        <f t="shared" si="25"/>
        <v>2393.3359197628824</v>
      </c>
      <c r="AC78" s="188">
        <f t="shared" si="26"/>
        <v>3635.3046813200981</v>
      </c>
      <c r="AD78" s="187">
        <f>AC78*Constants!$D$23</f>
        <v>363.53046813200984</v>
      </c>
      <c r="AE78" s="187">
        <f t="shared" si="27"/>
        <v>4731.5916739026825</v>
      </c>
      <c r="AF78" s="189">
        <f>AE78*(1+Constants!$D$20)^-H78</f>
        <v>2413.2450219341263</v>
      </c>
    </row>
    <row r="79" spans="8:32" x14ac:dyDescent="0.3">
      <c r="H79" s="172">
        <v>35</v>
      </c>
      <c r="I79" s="186">
        <f>I78*(1-Constants!$D$11)</f>
        <v>0.83908861037057936</v>
      </c>
      <c r="J79" s="173">
        <f t="shared" si="21"/>
        <v>1294.3964223861105</v>
      </c>
      <c r="K79" s="173">
        <f t="shared" si="22"/>
        <v>9788.9930113191895</v>
      </c>
      <c r="L79" s="187">
        <f>IF(J79*'Grid Power'!K52&lt;0,0,J79*'Grid Power'!K52)</f>
        <v>753.80696299028102</v>
      </c>
      <c r="M79" s="188">
        <v>0</v>
      </c>
      <c r="N79" s="188">
        <f>N78*(1+Constants!$D$20)</f>
        <v>196.06760320220161</v>
      </c>
      <c r="O79" s="188">
        <v>0</v>
      </c>
      <c r="P79" s="188">
        <f>K79*'Grid Power'!L52</f>
        <v>1400.4385044829303</v>
      </c>
      <c r="Q79" s="188">
        <v>0</v>
      </c>
      <c r="R79" s="187">
        <f t="shared" si="19"/>
        <v>450.5639382904476</v>
      </c>
      <c r="S79" s="187">
        <f>R79+'Analysis (Nothing)'!D40</f>
        <v>5284.1897401636379</v>
      </c>
      <c r="T79" s="187">
        <v>0</v>
      </c>
      <c r="U79" s="187">
        <f>V78*Configurations!$C$48</f>
        <v>596.23207859524553</v>
      </c>
      <c r="V79" s="187">
        <f>V78+T79-U79</f>
        <v>1391.2081833889065</v>
      </c>
      <c r="W79" s="187">
        <v>0</v>
      </c>
      <c r="X79" s="187">
        <f>Y78*Configurations!$D$48</f>
        <v>8.7510316454563739</v>
      </c>
      <c r="Y79" s="187">
        <f t="shared" si="24"/>
        <v>78.759284809107356</v>
      </c>
      <c r="Z79" s="188">
        <v>0</v>
      </c>
      <c r="AA79" s="187">
        <f>AB78*Configurations!$E$48</f>
        <v>478.66718395257652</v>
      </c>
      <c r="AB79" s="187">
        <f t="shared" si="25"/>
        <v>1914.6687358103059</v>
      </c>
      <c r="AC79" s="188">
        <f t="shared" si="26"/>
        <v>4200.5394459703602</v>
      </c>
      <c r="AD79" s="187">
        <f>AC79*Constants!$D$23</f>
        <v>420.05394459703604</v>
      </c>
      <c r="AE79" s="187">
        <f t="shared" si="27"/>
        <v>4864.1357955666017</v>
      </c>
      <c r="AF79" s="189">
        <f>AE79*(1+Constants!$D$20)^-H79</f>
        <v>2432.2022129126949</v>
      </c>
    </row>
    <row r="80" spans="8:32" x14ac:dyDescent="0.3">
      <c r="H80" s="172">
        <v>36</v>
      </c>
      <c r="I80" s="186">
        <f>I79*(1-Constants!$D$11)</f>
        <v>0.83489316731872643</v>
      </c>
      <c r="J80" s="173">
        <f t="shared" si="21"/>
        <v>1299.0742699162104</v>
      </c>
      <c r="K80" s="173">
        <f t="shared" si="22"/>
        <v>9740.0480462625928</v>
      </c>
      <c r="L80" s="187">
        <f>IF(J80*'Grid Power'!K53&lt;0,0,J80*'Grid Power'!K53)</f>
        <v>793.25219597954356</v>
      </c>
      <c r="M80" s="188">
        <v>0</v>
      </c>
      <c r="N80" s="188">
        <f>N79*(1+Constants!$D$20)</f>
        <v>199.98895526624565</v>
      </c>
      <c r="O80" s="188">
        <v>0</v>
      </c>
      <c r="P80" s="188">
        <f>K80*'Grid Power'!L53</f>
        <v>1407.3706750801209</v>
      </c>
      <c r="Q80" s="188">
        <v>0</v>
      </c>
      <c r="R80" s="187">
        <f t="shared" si="19"/>
        <v>414.12952383433174</v>
      </c>
      <c r="S80" s="187">
        <f>R80+'Analysis (Nothing)'!D41</f>
        <v>5482.373202575438</v>
      </c>
      <c r="T80" s="187">
        <v>0</v>
      </c>
      <c r="U80" s="187">
        <f>V79*Configurations!$C$48</f>
        <v>417.36245501667196</v>
      </c>
      <c r="V80" s="187">
        <f t="shared" si="23"/>
        <v>973.84572837223459</v>
      </c>
      <c r="W80" s="187">
        <v>0</v>
      </c>
      <c r="X80" s="187">
        <f>Y79*Configurations!$D$48</f>
        <v>7.8759284809107362</v>
      </c>
      <c r="Y80" s="187">
        <f t="shared" si="24"/>
        <v>70.883356328196626</v>
      </c>
      <c r="Z80" s="188">
        <v>0</v>
      </c>
      <c r="AA80" s="187">
        <f>AB79*Configurations!$E$48</f>
        <v>382.9337471620612</v>
      </c>
      <c r="AB80" s="187">
        <f t="shared" si="25"/>
        <v>1531.7349886482448</v>
      </c>
      <c r="AC80" s="188">
        <f t="shared" si="26"/>
        <v>4674.2010719157934</v>
      </c>
      <c r="AD80" s="187">
        <f>AC80*Constants!$D$23</f>
        <v>467.42010719157935</v>
      </c>
      <c r="AE80" s="187">
        <f t="shared" si="27"/>
        <v>5014.9530953838585</v>
      </c>
      <c r="AF80" s="189">
        <f>AE80*(1+Constants!$D$20)^-H80</f>
        <v>2458.4461052878546</v>
      </c>
    </row>
    <row r="81" spans="8:32" x14ac:dyDescent="0.3">
      <c r="H81" s="172">
        <v>37</v>
      </c>
      <c r="I81" s="186">
        <f>I80*(1-Constants!$D$11)</f>
        <v>0.83071870148213278</v>
      </c>
      <c r="J81" s="173">
        <f t="shared" si="21"/>
        <v>1303.7287282086602</v>
      </c>
      <c r="K81" s="173">
        <f t="shared" si="22"/>
        <v>9691.3478060312809</v>
      </c>
      <c r="L81" s="187">
        <f>IF(J81*'Grid Power'!K54&lt;0,0,J81*'Grid Power'!K54)</f>
        <v>834.78531451460833</v>
      </c>
      <c r="M81" s="188">
        <v>0</v>
      </c>
      <c r="N81" s="188">
        <f>N80*(1+Constants!$D$20)</f>
        <v>203.98873437157056</v>
      </c>
      <c r="O81" s="188">
        <v>0</v>
      </c>
      <c r="P81" s="188">
        <f>K81*'Grid Power'!L54</f>
        <v>1414.3371599217676</v>
      </c>
      <c r="Q81" s="188">
        <v>0</v>
      </c>
      <c r="R81" s="187">
        <f t="shared" si="19"/>
        <v>375.56311103558869</v>
      </c>
      <c r="S81" s="187">
        <f>R81+'Analysis (Nothing)'!D42</f>
        <v>5690.1284435062653</v>
      </c>
      <c r="T81" s="187">
        <v>0</v>
      </c>
      <c r="U81" s="187">
        <f>V80*Configurations!$C$48</f>
        <v>292.15371851167038</v>
      </c>
      <c r="V81" s="187">
        <f t="shared" si="23"/>
        <v>681.69200986056421</v>
      </c>
      <c r="W81" s="187">
        <v>0</v>
      </c>
      <c r="X81" s="187">
        <f>Y80*Configurations!$D$48</f>
        <v>7.0883356328196632</v>
      </c>
      <c r="Y81" s="187">
        <f t="shared" si="24"/>
        <v>63.795020695376962</v>
      </c>
      <c r="Z81" s="188">
        <v>0</v>
      </c>
      <c r="AA81" s="187">
        <f>AB80*Configurations!$E$48</f>
        <v>306.34699772964899</v>
      </c>
      <c r="AB81" s="187">
        <f t="shared" si="25"/>
        <v>1225.3879909185957</v>
      </c>
      <c r="AC81" s="188">
        <f t="shared" si="26"/>
        <v>5084.5393916321264</v>
      </c>
      <c r="AD81" s="187">
        <f>AC81*Constants!$D$23</f>
        <v>508.45393916321268</v>
      </c>
      <c r="AE81" s="187">
        <f t="shared" si="27"/>
        <v>5181.6745043430528</v>
      </c>
      <c r="AF81" s="189">
        <f>AE81*(1+Constants!$D$20)^-H81</f>
        <v>2490.3694113911733</v>
      </c>
    </row>
    <row r="82" spans="8:32" x14ac:dyDescent="0.3">
      <c r="H82" s="172">
        <v>38</v>
      </c>
      <c r="I82" s="186">
        <f>I81*(1-Constants!$D$11)</f>
        <v>0.82656510797472216</v>
      </c>
      <c r="J82" s="173">
        <f t="shared" si="21"/>
        <v>1308.3599142096475</v>
      </c>
      <c r="K82" s="173">
        <f t="shared" si="22"/>
        <v>9642.8910670011246</v>
      </c>
      <c r="L82" s="187">
        <f>IF(J82*'Grid Power'!K55&lt;0,0,J82*'Grid Power'!K55)</f>
        <v>878.51718658071889</v>
      </c>
      <c r="M82" s="188">
        <v>0</v>
      </c>
      <c r="N82" s="188">
        <f>N81*(1+Constants!$D$20)</f>
        <v>208.06850905900197</v>
      </c>
      <c r="O82" s="188">
        <v>0</v>
      </c>
      <c r="P82" s="188">
        <f>K82*'Grid Power'!L55</f>
        <v>1421.3381288633802</v>
      </c>
      <c r="Q82" s="188">
        <v>0</v>
      </c>
      <c r="R82" s="187">
        <f t="shared" si="19"/>
        <v>334.75243322365941</v>
      </c>
      <c r="S82" s="187">
        <f>R82+'Analysis (Nothing)'!D43</f>
        <v>5907.9343307386171</v>
      </c>
      <c r="T82" s="187">
        <v>0</v>
      </c>
      <c r="U82" s="187">
        <f>V81*Configurations!$C$48</f>
        <v>204.50760295816926</v>
      </c>
      <c r="V82" s="187">
        <f t="shared" si="23"/>
        <v>477.18440690239493</v>
      </c>
      <c r="W82" s="187">
        <v>0</v>
      </c>
      <c r="X82" s="187">
        <f>Y81*Configurations!$D$48</f>
        <v>6.3795020695376969</v>
      </c>
      <c r="Y82" s="187">
        <f t="shared" si="24"/>
        <v>57.415518625839269</v>
      </c>
      <c r="Z82" s="188">
        <v>0</v>
      </c>
      <c r="AA82" s="187">
        <f>AB81*Configurations!$E$48</f>
        <v>245.07759818371915</v>
      </c>
      <c r="AB82" s="187">
        <f t="shared" si="25"/>
        <v>980.31039273487659</v>
      </c>
      <c r="AC82" s="188">
        <f t="shared" si="26"/>
        <v>5451.9696275271899</v>
      </c>
      <c r="AD82" s="187">
        <f>AC82*Constants!$D$23</f>
        <v>545.19696275271906</v>
      </c>
      <c r="AE82" s="187">
        <f t="shared" si="27"/>
        <v>5362.7373679858983</v>
      </c>
      <c r="AF82" s="189">
        <f>AE82*(1+Constants!$D$20)^-H82</f>
        <v>2526.8531401824221</v>
      </c>
    </row>
    <row r="83" spans="8:32" x14ac:dyDescent="0.3">
      <c r="H83" s="172">
        <v>39</v>
      </c>
      <c r="I83" s="186">
        <f>I82*(1-Constants!$D$11)</f>
        <v>0.82243228243484856</v>
      </c>
      <c r="J83" s="173">
        <f t="shared" si="21"/>
        <v>1312.96794428063</v>
      </c>
      <c r="K83" s="173">
        <f t="shared" si="22"/>
        <v>9594.6766116661183</v>
      </c>
      <c r="L83" s="187">
        <f>IF(J83*'Grid Power'!K56&lt;0,0,J83*'Grid Power'!K56)</f>
        <v>924.56455881062902</v>
      </c>
      <c r="M83" s="188">
        <v>0</v>
      </c>
      <c r="N83" s="188">
        <f>N82*(1+Constants!$D$20)</f>
        <v>212.22987924018202</v>
      </c>
      <c r="O83" s="188">
        <v>0</v>
      </c>
      <c r="P83" s="188">
        <f>K83*'Grid Power'!L56</f>
        <v>1428.3737526012537</v>
      </c>
      <c r="Q83" s="188">
        <v>0</v>
      </c>
      <c r="R83" s="187">
        <f t="shared" si="19"/>
        <v>291.57931455044263</v>
      </c>
      <c r="S83" s="187">
        <f>R83+'Analysis (Nothing)'!D44</f>
        <v>6136.2938440548824</v>
      </c>
      <c r="T83" s="187">
        <v>0</v>
      </c>
      <c r="U83" s="187">
        <f>V82*Configurations!$C$48</f>
        <v>143.15532207071848</v>
      </c>
      <c r="V83" s="187">
        <f t="shared" si="23"/>
        <v>334.02908483167641</v>
      </c>
      <c r="W83" s="187">
        <v>0</v>
      </c>
      <c r="X83" s="187">
        <f>Y82*Configurations!$D$48</f>
        <v>5.7415518625839272</v>
      </c>
      <c r="Y83" s="187">
        <f t="shared" si="24"/>
        <v>51.673966763255343</v>
      </c>
      <c r="Z83" s="188">
        <v>0</v>
      </c>
      <c r="AA83" s="187">
        <f>AB82*Configurations!$E$48</f>
        <v>196.06207854697533</v>
      </c>
      <c r="AB83" s="187">
        <f t="shared" si="25"/>
        <v>784.24831418790131</v>
      </c>
      <c r="AC83" s="188">
        <f t="shared" si="26"/>
        <v>5791.3348915746046</v>
      </c>
      <c r="AD83" s="187">
        <f>AC83*Constants!$D$23</f>
        <v>579.13348915746053</v>
      </c>
      <c r="AE83" s="187">
        <f t="shared" si="27"/>
        <v>5557.1603548974217</v>
      </c>
      <c r="AF83" s="189">
        <f>AE83*(1+Constants!$D$20)^-H83</f>
        <v>2567.1203535880381</v>
      </c>
    </row>
    <row r="84" spans="8:32" x14ac:dyDescent="0.3">
      <c r="H84" s="190">
        <v>40</v>
      </c>
      <c r="I84" s="191">
        <f>I83*(1-Constants!$D$11)</f>
        <v>0.81832012102267426</v>
      </c>
      <c r="J84" s="192">
        <f t="shared" si="21"/>
        <v>1317.5529342012574</v>
      </c>
      <c r="K84" s="192">
        <f t="shared" si="22"/>
        <v>9546.7032286077883</v>
      </c>
      <c r="L84" s="193">
        <f>IF(J84*'Grid Power'!K57&lt;0,0,J84*'Grid Power'!K57)</f>
        <v>973.05036714876474</v>
      </c>
      <c r="M84" s="194">
        <v>0</v>
      </c>
      <c r="N84" s="194">
        <f>N83*(1+Constants!$D$20)</f>
        <v>216.47447682498566</v>
      </c>
      <c r="O84" s="194">
        <v>0</v>
      </c>
      <c r="P84" s="194">
        <f>K84*'Grid Power'!L57</f>
        <v>1435.4442026766301</v>
      </c>
      <c r="Q84" s="194">
        <f t="shared" ref="Q84" si="28">V84+Y84+AB84</f>
        <v>907.72558081942429</v>
      </c>
      <c r="R84" s="193">
        <f t="shared" si="19"/>
        <v>1153.6449395223037</v>
      </c>
      <c r="S84" s="193">
        <f>R84+'Analysis (Nothing)'!D45</f>
        <v>7283.4608730624459</v>
      </c>
      <c r="T84" s="193">
        <v>0</v>
      </c>
      <c r="U84" s="193">
        <f>V83*Configurations!$C$48</f>
        <v>100.20872544950292</v>
      </c>
      <c r="V84" s="193">
        <f t="shared" si="23"/>
        <v>233.82035938217348</v>
      </c>
      <c r="W84" s="193">
        <v>0</v>
      </c>
      <c r="X84" s="193">
        <f>Y83*Configurations!$D$48</f>
        <v>5.1673966763255343</v>
      </c>
      <c r="Y84" s="193">
        <f t="shared" si="24"/>
        <v>46.506570086929813</v>
      </c>
      <c r="Z84" s="194">
        <v>0</v>
      </c>
      <c r="AA84" s="193">
        <f>AB83*Configurations!$E$48</f>
        <v>156.84966283758027</v>
      </c>
      <c r="AB84" s="193">
        <f t="shared" si="25"/>
        <v>627.39865135032107</v>
      </c>
      <c r="AC84" s="194">
        <f t="shared" si="26"/>
        <v>7021.2350880990371</v>
      </c>
      <c r="AD84" s="193">
        <f>AC84*Constants!$D$23</f>
        <v>702.1235088099038</v>
      </c>
      <c r="AE84" s="193">
        <f t="shared" si="27"/>
        <v>6581.3373642525421</v>
      </c>
      <c r="AF84" s="195">
        <f>AE84*(1+Constants!$D$20)^-H84</f>
        <v>2980.6246113704433</v>
      </c>
    </row>
    <row r="85" spans="8:32" x14ac:dyDescent="0.3">
      <c r="H85" s="196"/>
      <c r="I85" s="186"/>
      <c r="J85" s="173"/>
      <c r="K85" s="173"/>
      <c r="L85" s="187"/>
      <c r="M85" s="188"/>
      <c r="N85" s="188"/>
      <c r="O85" s="188"/>
      <c r="P85" s="188"/>
      <c r="Q85" s="188"/>
      <c r="R85" s="187"/>
      <c r="S85" s="187"/>
      <c r="T85" s="187"/>
      <c r="U85" s="187"/>
      <c r="V85" s="187"/>
      <c r="W85" s="187"/>
      <c r="X85" s="187"/>
      <c r="Y85" s="187"/>
      <c r="Z85" s="188"/>
      <c r="AA85" s="187"/>
      <c r="AB85" s="187"/>
      <c r="AC85" s="188"/>
      <c r="AD85" s="187"/>
      <c r="AE85" s="187"/>
      <c r="AF85" s="202"/>
    </row>
    <row r="86" spans="8:32" x14ac:dyDescent="0.3">
      <c r="H86" s="290" t="s">
        <v>216</v>
      </c>
      <c r="I86" s="290"/>
      <c r="J86" s="290"/>
      <c r="K86" s="290"/>
      <c r="L86" s="290"/>
      <c r="M86" s="290"/>
      <c r="N86" s="290"/>
      <c r="O86" s="188"/>
      <c r="P86" s="188"/>
      <c r="Q86" s="188"/>
      <c r="R86" s="187"/>
      <c r="S86" s="187"/>
      <c r="T86" s="187"/>
      <c r="U86" s="187"/>
      <c r="V86" s="187"/>
      <c r="W86" s="187"/>
      <c r="X86" s="187"/>
      <c r="Y86" s="187"/>
      <c r="Z86" s="188"/>
      <c r="AA86" s="187"/>
      <c r="AB86" s="187"/>
      <c r="AC86" s="188"/>
      <c r="AD86" s="187"/>
      <c r="AE86" s="187"/>
      <c r="AF86" s="202"/>
    </row>
    <row r="87" spans="8:32" x14ac:dyDescent="0.3">
      <c r="H87" s="291" t="s">
        <v>184</v>
      </c>
      <c r="I87" s="291"/>
      <c r="J87" s="291"/>
      <c r="K87" s="291"/>
      <c r="L87" s="291"/>
      <c r="M87" s="291" t="s">
        <v>183</v>
      </c>
      <c r="N87" s="291"/>
      <c r="O87" s="188"/>
      <c r="P87" s="188"/>
      <c r="Q87" s="188"/>
      <c r="R87" s="187"/>
      <c r="S87" s="187"/>
      <c r="T87" s="187"/>
      <c r="U87" s="187"/>
      <c r="V87" s="187"/>
      <c r="W87" s="187"/>
      <c r="X87" s="187"/>
      <c r="Y87" s="187"/>
      <c r="Z87" s="188"/>
      <c r="AA87" s="187"/>
      <c r="AB87" s="187"/>
      <c r="AC87" s="188"/>
      <c r="AD87" s="187"/>
      <c r="AE87" s="187"/>
      <c r="AF87" s="202"/>
    </row>
    <row r="88" spans="8:32" x14ac:dyDescent="0.3">
      <c r="H88" s="291" t="str">
        <f>H4</f>
        <v>Year</v>
      </c>
      <c r="I88" s="292" t="str">
        <f>I5</f>
        <v>Solar efficiency</v>
      </c>
      <c r="J88" s="291" t="s">
        <v>180</v>
      </c>
      <c r="K88" s="203" t="s">
        <v>181</v>
      </c>
      <c r="L88" s="203" t="s">
        <v>182</v>
      </c>
      <c r="M88" s="291" t="s">
        <v>185</v>
      </c>
      <c r="N88" s="203" t="s">
        <v>179</v>
      </c>
    </row>
    <row r="89" spans="8:32" x14ac:dyDescent="0.3">
      <c r="H89" s="291"/>
      <c r="I89" s="292"/>
      <c r="J89" s="291"/>
      <c r="K89" s="203" t="s">
        <v>62</v>
      </c>
      <c r="L89" s="203" t="s">
        <v>59</v>
      </c>
      <c r="M89" s="291"/>
      <c r="N89" s="203" t="s">
        <v>59</v>
      </c>
    </row>
    <row r="90" spans="8:32" x14ac:dyDescent="0.3">
      <c r="H90" s="179">
        <v>0</v>
      </c>
      <c r="I90" s="180">
        <v>1</v>
      </c>
      <c r="J90" s="180">
        <f>1-I90</f>
        <v>0</v>
      </c>
      <c r="K90" s="225">
        <f>J90*$C$18</f>
        <v>0</v>
      </c>
      <c r="L90" s="182">
        <f>K90*'Grid Power'!K17</f>
        <v>0</v>
      </c>
      <c r="M90" s="226">
        <f>H90</f>
        <v>0</v>
      </c>
      <c r="N90" s="227">
        <v>0</v>
      </c>
    </row>
    <row r="91" spans="8:32" x14ac:dyDescent="0.3">
      <c r="H91" s="172">
        <v>1</v>
      </c>
      <c r="I91" s="186">
        <f>I90*(1-Constants!$D$11)</f>
        <v>0.995</v>
      </c>
      <c r="J91" s="204">
        <f t="shared" ref="J91:J130" si="29">1-I91</f>
        <v>5.0000000000000044E-3</v>
      </c>
      <c r="K91" s="205">
        <f t="shared" ref="K91:K130" si="30">J91*$C$18</f>
        <v>94.256389250317127</v>
      </c>
      <c r="L91" s="187">
        <f>K91*'Grid Power'!K18</f>
        <v>11.480488911803302</v>
      </c>
      <c r="M91" s="196">
        <f>H91</f>
        <v>1</v>
      </c>
      <c r="N91" s="178">
        <f>PMT(Constants!$D$21,M91,-NPV(Constants!$D$21,$J$91:L91))+Configurations!$D$62/M91</f>
        <v>11694.337519407702</v>
      </c>
      <c r="O91" s="206">
        <f>MIN($N$91:$N$130)</f>
        <v>863.29345490458877</v>
      </c>
    </row>
    <row r="92" spans="8:32" x14ac:dyDescent="0.3">
      <c r="H92" s="172">
        <v>2</v>
      </c>
      <c r="I92" s="186">
        <f>I91*(1-Constants!$D$11)</f>
        <v>0.99002500000000004</v>
      </c>
      <c r="J92" s="204">
        <f t="shared" si="29"/>
        <v>9.9749999999999561E-3</v>
      </c>
      <c r="K92" s="205">
        <f t="shared" si="30"/>
        <v>188.04149655438167</v>
      </c>
      <c r="L92" s="187">
        <f>K92*'Grid Power'!K19</f>
        <v>23.943045589868312</v>
      </c>
      <c r="M92" s="196">
        <f t="shared" ref="M92:M130" si="31">H92</f>
        <v>2</v>
      </c>
      <c r="N92" s="178">
        <f>PMT(Constants!$D$21,M92,-NPV(Constants!$D$21,$J$91:L92))+Configurations!$D$62/M92</f>
        <v>5943.179675104634</v>
      </c>
      <c r="O92" s="206">
        <f t="shared" ref="O92:O130" si="32">MIN($N$91:$N$130)</f>
        <v>863.29345490458877</v>
      </c>
    </row>
    <row r="93" spans="8:32" x14ac:dyDescent="0.3">
      <c r="H93" s="172">
        <v>3</v>
      </c>
      <c r="I93" s="186">
        <f>I92*(1-Constants!$D$11)</f>
        <v>0.98507487500000002</v>
      </c>
      <c r="J93" s="204">
        <f t="shared" si="29"/>
        <v>1.4925124999999984E-2</v>
      </c>
      <c r="K93" s="205">
        <f t="shared" si="30"/>
        <v>281.35767832192732</v>
      </c>
      <c r="L93" s="187">
        <f>K93*'Grid Power'!K20</f>
        <v>37.455254772569873</v>
      </c>
      <c r="M93" s="196">
        <f t="shared" si="31"/>
        <v>3</v>
      </c>
      <c r="N93" s="178">
        <f>PMT(Constants!$D$21,M93,-NPV(Constants!$D$21,$J$91:L93))+Configurations!$D$62/M93</f>
        <v>4052.2367706923746</v>
      </c>
      <c r="O93" s="206">
        <f t="shared" si="32"/>
        <v>863.29345490458877</v>
      </c>
    </row>
    <row r="94" spans="8:32" x14ac:dyDescent="0.3">
      <c r="H94" s="172">
        <v>4</v>
      </c>
      <c r="I94" s="186">
        <f>I93*(1-Constants!$D$11)</f>
        <v>0.98014950062500006</v>
      </c>
      <c r="J94" s="204">
        <f t="shared" si="29"/>
        <v>1.9850499374999941E-2</v>
      </c>
      <c r="K94" s="205">
        <f t="shared" si="30"/>
        <v>374.20727918063392</v>
      </c>
      <c r="L94" s="187">
        <f>K94*'Grid Power'!K21</f>
        <v>52.088971366974441</v>
      </c>
      <c r="M94" s="196">
        <f t="shared" si="31"/>
        <v>4</v>
      </c>
      <c r="N94" s="178">
        <f>PMT(Constants!$D$21,M94,-NPV(Constants!$D$21,$J$91:L94))+Configurations!$D$62/M94</f>
        <v>3123.8032485299086</v>
      </c>
      <c r="O94" s="206">
        <f t="shared" si="32"/>
        <v>863.29345490458877</v>
      </c>
    </row>
    <row r="95" spans="8:32" x14ac:dyDescent="0.3">
      <c r="H95" s="172">
        <v>5</v>
      </c>
      <c r="I95" s="186">
        <f>I94*(1-Constants!$D$11)</f>
        <v>0.97524875312187509</v>
      </c>
      <c r="J95" s="204">
        <f t="shared" si="29"/>
        <v>2.4751246878124911E-2</v>
      </c>
      <c r="K95" s="205">
        <f t="shared" si="30"/>
        <v>466.59263203504725</v>
      </c>
      <c r="L95" s="187">
        <f>K95*'Grid Power'!K22</f>
        <v>67.920577018157104</v>
      </c>
      <c r="M95" s="196">
        <f t="shared" si="31"/>
        <v>5</v>
      </c>
      <c r="N95" s="178">
        <f>PMT(Constants!$D$21,M95,-NPV(Constants!$D$21,$J$91:L95))+Configurations!$D$62/M95</f>
        <v>2578.5515841714368</v>
      </c>
      <c r="O95" s="206">
        <f t="shared" si="32"/>
        <v>863.29345490458877</v>
      </c>
    </row>
    <row r="96" spans="8:32" x14ac:dyDescent="0.3">
      <c r="H96" s="172">
        <v>6</v>
      </c>
      <c r="I96" s="186">
        <f>I95*(1-Constants!$D$11)</f>
        <v>0.97037250935626573</v>
      </c>
      <c r="J96" s="204">
        <f t="shared" si="29"/>
        <v>2.9627490643734267E-2</v>
      </c>
      <c r="K96" s="205">
        <f t="shared" si="30"/>
        <v>558.51605812518869</v>
      </c>
      <c r="L96" s="187">
        <f>K96*'Grid Power'!K23</f>
        <v>85.031251573362667</v>
      </c>
      <c r="M96" s="196">
        <f t="shared" si="31"/>
        <v>6</v>
      </c>
      <c r="N96" s="178">
        <f>PMT(Constants!$D$21,M96,-NPV(Constants!$D$21,$J$91:L96))+Configurations!$D$62/M96</f>
        <v>2223.5338802608753</v>
      </c>
      <c r="O96" s="206">
        <f t="shared" si="32"/>
        <v>863.29345490458877</v>
      </c>
    </row>
    <row r="97" spans="8:15" x14ac:dyDescent="0.3">
      <c r="H97" s="172">
        <v>7</v>
      </c>
      <c r="I97" s="186">
        <f>I96*(1-Constants!$D$11)</f>
        <v>0.96552064680948435</v>
      </c>
      <c r="J97" s="204">
        <f t="shared" si="29"/>
        <v>3.4479353190515649E-2</v>
      </c>
      <c r="K97" s="205">
        <f t="shared" si="30"/>
        <v>649.97986708488077</v>
      </c>
      <c r="L97" s="187">
        <f>K97*'Grid Power'!K24</f>
        <v>103.50726028439604</v>
      </c>
      <c r="M97" s="196">
        <f t="shared" si="31"/>
        <v>7</v>
      </c>
      <c r="N97" s="178">
        <f>PMT(Constants!$D$21,M97,-NPV(Constants!$D$21,$J$91:L97))+Configurations!$D$62/M97</f>
        <v>1976.1833472270587</v>
      </c>
      <c r="O97" s="206">
        <f t="shared" si="32"/>
        <v>863.29345490458877</v>
      </c>
    </row>
    <row r="98" spans="8:15" x14ac:dyDescent="0.3">
      <c r="H98" s="172">
        <v>8</v>
      </c>
      <c r="I98" s="186">
        <f>I97*(1-Constants!$D$11)</f>
        <v>0.96069304357543694</v>
      </c>
      <c r="J98" s="204">
        <f t="shared" si="29"/>
        <v>3.9306956424563055E-2</v>
      </c>
      <c r="K98" s="205">
        <f t="shared" si="30"/>
        <v>740.98635699977308</v>
      </c>
      <c r="L98" s="187">
        <f>K98*'Grid Power'!K25</f>
        <v>123.44025763848924</v>
      </c>
      <c r="M98" s="196">
        <f t="shared" si="31"/>
        <v>8</v>
      </c>
      <c r="N98" s="178">
        <f>PMT(Constants!$D$21,M98,-NPV(Constants!$D$21,$J$91:L98))+Configurations!$D$62/M98</f>
        <v>1795.3156786774671</v>
      </c>
      <c r="O98" s="206">
        <f t="shared" si="32"/>
        <v>863.29345490458877</v>
      </c>
    </row>
    <row r="99" spans="8:15" x14ac:dyDescent="0.3">
      <c r="H99" s="172">
        <v>9</v>
      </c>
      <c r="I99" s="186">
        <f>I98*(1-Constants!$D$11)</f>
        <v>0.95588957835755972</v>
      </c>
      <c r="J99" s="204">
        <f t="shared" si="29"/>
        <v>4.4110421642440278E-2</v>
      </c>
      <c r="K99" s="205">
        <f t="shared" si="30"/>
        <v>831.53781446509197</v>
      </c>
      <c r="L99" s="187">
        <f>K99*'Grid Power'!K26</f>
        <v>144.92760875733305</v>
      </c>
      <c r="M99" s="196">
        <f t="shared" si="31"/>
        <v>9</v>
      </c>
      <c r="N99" s="178">
        <f>PMT(Constants!$D$21,M99,-NPV(Constants!$D$21,$J$91:L99))+Configurations!$D$62/M99</f>
        <v>1658.1303288456231</v>
      </c>
      <c r="O99" s="206">
        <f t="shared" si="32"/>
        <v>863.29345490458877</v>
      </c>
    </row>
    <row r="100" spans="8:15" x14ac:dyDescent="0.3">
      <c r="H100" s="172">
        <v>10</v>
      </c>
      <c r="I100" s="186">
        <f>I99*(1-Constants!$D$11)</f>
        <v>0.95111013046577186</v>
      </c>
      <c r="J100" s="204">
        <f t="shared" si="29"/>
        <v>4.8889869534228136E-2</v>
      </c>
      <c r="K100" s="205">
        <f t="shared" si="30"/>
        <v>921.63651464308475</v>
      </c>
      <c r="L100" s="187">
        <f>K100*'Grid Power'!K27</f>
        <v>168.07272935609271</v>
      </c>
      <c r="M100" s="196">
        <f t="shared" si="31"/>
        <v>10</v>
      </c>
      <c r="N100" s="178">
        <f>PMT(Constants!$D$21,M100,-NPV(Constants!$D$21,$J$91:L100))+Configurations!$D$62/M100</f>
        <v>1551.0116989413805</v>
      </c>
      <c r="O100" s="206">
        <f t="shared" si="32"/>
        <v>863.29345490458877</v>
      </c>
    </row>
    <row r="101" spans="8:15" x14ac:dyDescent="0.3">
      <c r="H101" s="172">
        <v>11</v>
      </c>
      <c r="I101" s="186">
        <f>I100*(1-Constants!$D$11)</f>
        <v>0.94635457981344295</v>
      </c>
      <c r="J101" s="204">
        <f t="shared" si="29"/>
        <v>5.3645420186557047E-2</v>
      </c>
      <c r="K101" s="205">
        <f t="shared" si="30"/>
        <v>1011.2847213201873</v>
      </c>
      <c r="L101" s="187">
        <f>K101*'Grid Power'!K28</f>
        <v>192.98544530923201</v>
      </c>
      <c r="M101" s="196">
        <f t="shared" si="31"/>
        <v>11</v>
      </c>
      <c r="N101" s="178">
        <f>PMT(Constants!$D$21,M101,-NPV(Constants!$D$21,$J$91:L101))+Configurations!$D$62/M101</f>
        <v>1465.3484205999623</v>
      </c>
      <c r="O101" s="206">
        <f t="shared" si="32"/>
        <v>863.29345490458877</v>
      </c>
    </row>
    <row r="102" spans="8:15" x14ac:dyDescent="0.3">
      <c r="H102" s="172">
        <v>12</v>
      </c>
      <c r="I102" s="186">
        <f>I101*(1-Constants!$D$11)</f>
        <v>0.94162280691437572</v>
      </c>
      <c r="J102" s="204">
        <f t="shared" si="29"/>
        <v>5.8377193085624279E-2</v>
      </c>
      <c r="K102" s="205">
        <f t="shared" si="30"/>
        <v>1100.4846869639036</v>
      </c>
      <c r="L102" s="187">
        <f>K102*'Grid Power'!K29</f>
        <v>219.78237292796123</v>
      </c>
      <c r="M102" s="196">
        <f t="shared" si="31"/>
        <v>12</v>
      </c>
      <c r="N102" s="178">
        <f>PMT(Constants!$D$21,M102,-NPV(Constants!$D$21,$J$91:L102))+Configurations!$D$62/M102</f>
        <v>1395.4434696406233</v>
      </c>
      <c r="O102" s="206">
        <f t="shared" si="32"/>
        <v>863.29345490458877</v>
      </c>
    </row>
    <row r="103" spans="8:15" x14ac:dyDescent="0.3">
      <c r="H103" s="172">
        <v>13</v>
      </c>
      <c r="I103" s="186">
        <f>I102*(1-Constants!$D$11)</f>
        <v>0.93691469287980389</v>
      </c>
      <c r="J103" s="204">
        <f t="shared" si="29"/>
        <v>6.308530712019611E-2</v>
      </c>
      <c r="K103" s="205">
        <f t="shared" si="30"/>
        <v>1189.2386527794004</v>
      </c>
      <c r="L103" s="187">
        <f>K103*'Grid Power'!K30</f>
        <v>248.58732111529932</v>
      </c>
      <c r="M103" s="196">
        <f t="shared" si="31"/>
        <v>13</v>
      </c>
      <c r="N103" s="178">
        <f>PMT(Constants!$D$21,M103,-NPV(Constants!$D$21,$J$91:L103))+Configurations!$D$62/M103</f>
        <v>1337.3892415375528</v>
      </c>
      <c r="O103" s="206">
        <f t="shared" si="32"/>
        <v>863.29345490458877</v>
      </c>
    </row>
    <row r="104" spans="8:15" x14ac:dyDescent="0.3">
      <c r="H104" s="172">
        <v>14</v>
      </c>
      <c r="I104" s="186">
        <f>I103*(1-Constants!$D$11)</f>
        <v>0.9322301194154049</v>
      </c>
      <c r="J104" s="204">
        <f t="shared" si="29"/>
        <v>6.7769880584595099E-2</v>
      </c>
      <c r="K104" s="205">
        <f t="shared" si="30"/>
        <v>1277.5488487658199</v>
      </c>
      <c r="L104" s="187">
        <f>K104*'Grid Power'!K31</f>
        <v>279.53171662925178</v>
      </c>
      <c r="M104" s="196">
        <f t="shared" si="31"/>
        <v>14</v>
      </c>
      <c r="N104" s="178">
        <f>PMT(Constants!$D$21,M104,-NPV(Constants!$D$21,$J$91:L104))+Configurations!$D$62/M104</f>
        <v>1288.4250762672316</v>
      </c>
      <c r="O104" s="206">
        <f t="shared" si="32"/>
        <v>863.29345490458877</v>
      </c>
    </row>
    <row r="105" spans="8:15" x14ac:dyDescent="0.3">
      <c r="H105" s="172">
        <v>15</v>
      </c>
      <c r="I105" s="186">
        <f>I104*(1-Constants!$D$11)</f>
        <v>0.92756896881832784</v>
      </c>
      <c r="J105" s="204">
        <f t="shared" si="29"/>
        <v>7.2431031181672156E-2</v>
      </c>
      <c r="K105" s="205">
        <f t="shared" si="30"/>
        <v>1365.4174937723085</v>
      </c>
      <c r="L105" s="187">
        <f>K105*'Grid Power'!K32</f>
        <v>312.75505375263566</v>
      </c>
      <c r="M105" s="196">
        <f t="shared" si="31"/>
        <v>15</v>
      </c>
      <c r="N105" s="178">
        <f>PMT(Constants!$D$21,M105,-NPV(Constants!$D$21,$J$91:L105))+Configurations!$D$62/M105</f>
        <v>1246.5520624980124</v>
      </c>
      <c r="O105" s="206">
        <f t="shared" si="32"/>
        <v>863.29345490458877</v>
      </c>
    </row>
    <row r="106" spans="8:15" x14ac:dyDescent="0.3">
      <c r="H106" s="172">
        <v>16</v>
      </c>
      <c r="I106" s="186">
        <f>I105*(1-Constants!$D$11)</f>
        <v>0.92293112397423616</v>
      </c>
      <c r="J106" s="204">
        <f t="shared" si="29"/>
        <v>7.7068876025763844E-2</v>
      </c>
      <c r="K106" s="205">
        <f t="shared" si="30"/>
        <v>1452.8467955537649</v>
      </c>
      <c r="L106" s="187">
        <f>K106*'Grid Power'!K33</f>
        <v>348.40536973983006</v>
      </c>
      <c r="M106" s="196">
        <f t="shared" si="31"/>
        <v>16</v>
      </c>
      <c r="N106" s="178">
        <f>PMT(Constants!$D$21,M106,-NPV(Constants!$D$21,$J$91:L106))+Configurations!$D$62/M106</f>
        <v>1210.292538168768</v>
      </c>
      <c r="O106" s="206">
        <f t="shared" si="32"/>
        <v>863.29345490458877</v>
      </c>
    </row>
    <row r="107" spans="8:15" x14ac:dyDescent="0.3">
      <c r="H107" s="172">
        <v>17</v>
      </c>
      <c r="I107" s="186">
        <f>I106*(1-Constants!$D$11)</f>
        <v>0.91831646835436498</v>
      </c>
      <c r="J107" s="204">
        <f t="shared" si="29"/>
        <v>8.1683531645635021E-2</v>
      </c>
      <c r="K107" s="205">
        <f t="shared" si="30"/>
        <v>1539.8389508263131</v>
      </c>
      <c r="L107" s="187">
        <f>K107*'Grid Power'!K34</f>
        <v>386.63974748638901</v>
      </c>
      <c r="M107" s="196">
        <f t="shared" si="31"/>
        <v>17</v>
      </c>
      <c r="N107" s="178">
        <f>PMT(Constants!$D$21,M107,-NPV(Constants!$D$21,$J$91:L107))+Configurations!$D$62/M107</f>
        <v>1178.5346865063407</v>
      </c>
      <c r="O107" s="206">
        <f t="shared" si="32"/>
        <v>863.29345490458877</v>
      </c>
    </row>
    <row r="108" spans="8:15" x14ac:dyDescent="0.3">
      <c r="H108" s="172">
        <v>18</v>
      </c>
      <c r="I108" s="186">
        <f>I107*(1-Constants!$D$11)</f>
        <v>0.91372488601259316</v>
      </c>
      <c r="J108" s="204">
        <f t="shared" si="29"/>
        <v>8.6275113987406837E-2</v>
      </c>
      <c r="K108" s="205">
        <f t="shared" si="30"/>
        <v>1626.3961453224983</v>
      </c>
      <c r="L108" s="187">
        <f>K108*'Grid Power'!K35</f>
        <v>427.62484694722889</v>
      </c>
      <c r="M108" s="196">
        <f t="shared" si="31"/>
        <v>18</v>
      </c>
      <c r="N108" s="178">
        <f>PMT(Constants!$D$21,M108,-NPV(Constants!$D$21,$J$91:L108))+Configurations!$D$62/M108</f>
        <v>1150.4291173996303</v>
      </c>
      <c r="O108" s="206">
        <f t="shared" si="32"/>
        <v>863.29345490458877</v>
      </c>
    </row>
    <row r="109" spans="8:15" x14ac:dyDescent="0.3">
      <c r="H109" s="172">
        <v>19</v>
      </c>
      <c r="I109" s="186">
        <f>I108*(1-Constants!$D$11)</f>
        <v>0.90915626158253016</v>
      </c>
      <c r="J109" s="204">
        <f t="shared" si="29"/>
        <v>9.0843738417469844E-2</v>
      </c>
      <c r="K109" s="205">
        <f t="shared" si="30"/>
        <v>1712.5205538462035</v>
      </c>
      <c r="L109" s="187">
        <f>K109*'Grid Power'!K36</f>
        <v>471.53746691323011</v>
      </c>
      <c r="M109" s="196">
        <f t="shared" si="31"/>
        <v>19</v>
      </c>
      <c r="N109" s="178">
        <f>PMT(Constants!$D$21,M109,-NPV(Constants!$D$21,$J$91:L109))+Configurations!$D$62/M109</f>
        <v>1125.3182664936294</v>
      </c>
      <c r="O109" s="206">
        <f t="shared" si="32"/>
        <v>863.29345490458877</v>
      </c>
    </row>
    <row r="110" spans="8:15" x14ac:dyDescent="0.3">
      <c r="H110" s="172">
        <v>20</v>
      </c>
      <c r="I110" s="186">
        <f>I109*(1-Constants!$D$11)</f>
        <v>0.90461048027461755</v>
      </c>
      <c r="J110" s="204">
        <f t="shared" si="29"/>
        <v>9.5389519725382454E-2</v>
      </c>
      <c r="K110" s="205">
        <f t="shared" si="30"/>
        <v>1798.2143403272889</v>
      </c>
      <c r="L110" s="187">
        <f>K110*'Grid Power'!K37</f>
        <v>518.56513884480057</v>
      </c>
      <c r="M110" s="196">
        <f t="shared" si="31"/>
        <v>20</v>
      </c>
      <c r="N110" s="178">
        <f>PMT(Constants!$D$21,M110,-NPV(Constants!$D$21,$J$91:L110))+Configurations!$D$62/M110</f>
        <v>1102.6871126094347</v>
      </c>
      <c r="O110" s="206">
        <f t="shared" si="32"/>
        <v>863.29345490458877</v>
      </c>
    </row>
    <row r="111" spans="8:15" x14ac:dyDescent="0.3">
      <c r="H111" s="172">
        <v>21</v>
      </c>
      <c r="I111" s="186">
        <f>I110*(1-Constants!$D$11)</f>
        <v>0.90008742787324447</v>
      </c>
      <c r="J111" s="204">
        <f t="shared" si="29"/>
        <v>9.9912572126755528E-2</v>
      </c>
      <c r="K111" s="205">
        <f t="shared" si="30"/>
        <v>1883.4796578759692</v>
      </c>
      <c r="L111" s="187">
        <f>K111*'Grid Power'!K38</f>
        <v>568.90675455448013</v>
      </c>
      <c r="M111" s="196">
        <f t="shared" si="31"/>
        <v>21</v>
      </c>
      <c r="N111" s="178">
        <f>PMT(Constants!$D$21,M111,-NPV(Constants!$D$21,$J$91:L111))+Configurations!$D$62/M111</f>
        <v>1082.1280958592581</v>
      </c>
      <c r="O111" s="206">
        <f t="shared" si="32"/>
        <v>863.29345490458877</v>
      </c>
    </row>
    <row r="112" spans="8:15" x14ac:dyDescent="0.3">
      <c r="H112" s="172">
        <v>22</v>
      </c>
      <c r="I112" s="186">
        <f>I111*(1-Constants!$D$11)</f>
        <v>0.89558699073387826</v>
      </c>
      <c r="J112" s="204">
        <f t="shared" si="29"/>
        <v>0.10441300926612174</v>
      </c>
      <c r="K112" s="205">
        <f t="shared" si="30"/>
        <v>1968.318648836906</v>
      </c>
      <c r="L112" s="187">
        <f>K112*'Grid Power'!K39</f>
        <v>622.77322962927974</v>
      </c>
      <c r="M112" s="196">
        <f t="shared" si="31"/>
        <v>22</v>
      </c>
      <c r="N112" s="178">
        <f>PMT(Constants!$D$21,M112,-NPV(Constants!$D$21,$J$91:L112))+Configurations!$D$62/M112</f>
        <v>1063.315707969839</v>
      </c>
      <c r="O112" s="206">
        <f t="shared" si="32"/>
        <v>863.29345490458877</v>
      </c>
    </row>
    <row r="113" spans="8:15" x14ac:dyDescent="0.3">
      <c r="H113" s="172">
        <v>23</v>
      </c>
      <c r="I113" s="186">
        <f>I112*(1-Constants!$D$11)</f>
        <v>0.89110905578020883</v>
      </c>
      <c r="J113" s="204">
        <f t="shared" si="29"/>
        <v>0.10889094421979117</v>
      </c>
      <c r="K113" s="205">
        <f t="shared" si="30"/>
        <v>2052.7334448430397</v>
      </c>
      <c r="L113" s="187">
        <f>K113*'Grid Power'!K40</f>
        <v>680.38820458743805</v>
      </c>
      <c r="M113" s="196">
        <f t="shared" si="31"/>
        <v>23</v>
      </c>
      <c r="N113" s="178">
        <f>PMT(Constants!$D$21,M113,-NPV(Constants!$D$21,$J$91:L113))+Configurations!$D$62/M113</f>
        <v>1045.9878022586017</v>
      </c>
      <c r="O113" s="206">
        <f t="shared" si="32"/>
        <v>863.29345490458877</v>
      </c>
    </row>
    <row r="114" spans="8:15" x14ac:dyDescent="0.3">
      <c r="H114" s="172">
        <v>24</v>
      </c>
      <c r="I114" s="186">
        <f>I113*(1-Constants!$D$11)</f>
        <v>0.88665351050130781</v>
      </c>
      <c r="J114" s="204">
        <f t="shared" si="29"/>
        <v>0.11334648949869219</v>
      </c>
      <c r="K114" s="205">
        <f t="shared" si="30"/>
        <v>2136.7261668691408</v>
      </c>
      <c r="L114" s="187">
        <f>K114*'Grid Power'!K41</f>
        <v>741.98878587389856</v>
      </c>
      <c r="M114" s="196">
        <f t="shared" si="31"/>
        <v>24</v>
      </c>
      <c r="N114" s="178">
        <f>PMT(Constants!$D$21,M114,-NPV(Constants!$D$21,$J$91:L114))+Configurations!$D$62/M114</f>
        <v>1029.9316556019362</v>
      </c>
      <c r="O114" s="206">
        <f t="shared" si="32"/>
        <v>863.29345490458877</v>
      </c>
    </row>
    <row r="115" spans="8:15" x14ac:dyDescent="0.3">
      <c r="H115" s="172">
        <v>25</v>
      </c>
      <c r="I115" s="186">
        <f>I114*(1-Constants!$D$11)</f>
        <v>0.8822202429488013</v>
      </c>
      <c r="J115" s="204">
        <f t="shared" si="29"/>
        <v>0.1177797570511987</v>
      </c>
      <c r="K115" s="205">
        <f t="shared" si="30"/>
        <v>2220.2989252851116</v>
      </c>
      <c r="L115" s="187">
        <f>K115*'Grid Power'!K42</f>
        <v>807.82632891440392</v>
      </c>
      <c r="M115" s="196">
        <f t="shared" si="31"/>
        <v>25</v>
      </c>
      <c r="N115" s="178">
        <f>PMT(Constants!$D$21,M115,-NPV(Constants!$D$21,$J$91:L115))+Configurations!$D$62/M115</f>
        <v>1014.9734450130077</v>
      </c>
      <c r="O115" s="206">
        <f t="shared" si="32"/>
        <v>863.29345490458877</v>
      </c>
    </row>
    <row r="116" spans="8:15" x14ac:dyDescent="0.3">
      <c r="H116" s="172">
        <v>26</v>
      </c>
      <c r="I116" s="186">
        <f>I115*(1-Constants!$D$11)</f>
        <v>0.87780914173405733</v>
      </c>
      <c r="J116" s="204">
        <f t="shared" si="29"/>
        <v>0.12219085826594267</v>
      </c>
      <c r="K116" s="205">
        <f t="shared" si="30"/>
        <v>2303.4538199090025</v>
      </c>
      <c r="L116" s="187">
        <f>K116*'Grid Power'!K43</f>
        <v>878.16726556994672</v>
      </c>
      <c r="M116" s="196">
        <f t="shared" si="31"/>
        <v>26</v>
      </c>
      <c r="N116" s="178">
        <f>PMT(Constants!$D$21,M116,-NPV(Constants!$D$21,$J$91:L116))+Configurations!$D$62/M116</f>
        <v>1000.9702135028178</v>
      </c>
      <c r="O116" s="206">
        <f t="shared" si="32"/>
        <v>863.29345490458877</v>
      </c>
    </row>
    <row r="117" spans="8:15" x14ac:dyDescent="0.3">
      <c r="H117" s="172">
        <v>27</v>
      </c>
      <c r="I117" s="186">
        <f>I116*(1-Constants!$D$11)</f>
        <v>0.87342009602538706</v>
      </c>
      <c r="J117" s="204">
        <f t="shared" si="29"/>
        <v>0.12657990397461294</v>
      </c>
      <c r="K117" s="205">
        <f t="shared" si="30"/>
        <v>2386.1929400597742</v>
      </c>
      <c r="L117" s="187">
        <f>K117*'Grid Power'!K44</f>
        <v>953.29397846179654</v>
      </c>
      <c r="M117" s="196">
        <f t="shared" si="31"/>
        <v>27</v>
      </c>
      <c r="N117" s="178">
        <f>PMT(Constants!$D$21,M117,-NPV(Constants!$D$21,$J$91:L117))+Configurations!$D$62/M117</f>
        <v>987.8036745593306</v>
      </c>
      <c r="O117" s="206">
        <f t="shared" si="32"/>
        <v>863.29345490458877</v>
      </c>
    </row>
    <row r="118" spans="8:15" x14ac:dyDescent="0.3">
      <c r="H118" s="172">
        <v>28</v>
      </c>
      <c r="I118" s="186">
        <f>I117*(1-Constants!$D$11)</f>
        <v>0.86905299554526017</v>
      </c>
      <c r="J118" s="204">
        <f t="shared" si="29"/>
        <v>0.13094700445473983</v>
      </c>
      <c r="K118" s="205">
        <f t="shared" si="30"/>
        <v>2468.5183646097917</v>
      </c>
      <c r="L118" s="187">
        <f>K118*'Grid Power'!K45</f>
        <v>1033.5057247727523</v>
      </c>
      <c r="M118" s="196">
        <f t="shared" si="31"/>
        <v>28</v>
      </c>
      <c r="N118" s="178">
        <f>PMT(Constants!$D$21,M118,-NPV(Constants!$D$21,$J$91:L118))+Configurations!$D$62/M118</f>
        <v>975.37539091830274</v>
      </c>
      <c r="O118" s="206">
        <f t="shared" si="32"/>
        <v>863.29345490458877</v>
      </c>
    </row>
    <row r="119" spans="8:15" x14ac:dyDescent="0.3">
      <c r="H119" s="172">
        <v>29</v>
      </c>
      <c r="I119" s="186">
        <f>I118*(1-Constants!$D$11)</f>
        <v>0.86470773056753381</v>
      </c>
      <c r="J119" s="204">
        <f t="shared" si="29"/>
        <v>0.13529226943246619</v>
      </c>
      <c r="K119" s="205">
        <f t="shared" si="30"/>
        <v>2550.4321620370606</v>
      </c>
      <c r="L119" s="187">
        <f>K119*'Grid Power'!K46</f>
        <v>1119.1196122730375</v>
      </c>
      <c r="M119" s="196">
        <f t="shared" si="31"/>
        <v>29</v>
      </c>
      <c r="N119" s="178">
        <f>PMT(Constants!$D$21,M119,-NPV(Constants!$D$21,$J$91:L119))+Configurations!$D$62/M119</f>
        <v>963.60299177489355</v>
      </c>
      <c r="O119" s="206">
        <f t="shared" si="32"/>
        <v>863.29345490458877</v>
      </c>
    </row>
    <row r="120" spans="8:15" x14ac:dyDescent="0.3">
      <c r="H120" s="172">
        <v>30</v>
      </c>
      <c r="I120" s="186">
        <f>I119*(1-Constants!$D$11)</f>
        <v>0.86038419191469617</v>
      </c>
      <c r="J120" s="204">
        <f t="shared" si="29"/>
        <v>0.13961580808530383</v>
      </c>
      <c r="K120" s="205">
        <f t="shared" si="30"/>
        <v>2631.9363904771917</v>
      </c>
      <c r="L120" s="187">
        <f>K120*'Grid Power'!K47</f>
        <v>1210.4716304697743</v>
      </c>
      <c r="M120" s="196">
        <f t="shared" si="31"/>
        <v>30</v>
      </c>
      <c r="N120" s="178">
        <f>PMT(Constants!$D$21,M120,-NPV(Constants!$D$21,$J$91:L120))+Configurations!$D$62/M120</f>
        <v>952.41718248752954</v>
      </c>
      <c r="O120" s="206">
        <f t="shared" si="32"/>
        <v>863.29345490458877</v>
      </c>
    </row>
    <row r="121" spans="8:15" x14ac:dyDescent="0.3">
      <c r="H121" s="172">
        <v>31</v>
      </c>
      <c r="I121" s="186">
        <f>I120*(1-Constants!$D$11)</f>
        <v>0.85608227095512268</v>
      </c>
      <c r="J121" s="204">
        <f t="shared" si="29"/>
        <v>0.14391772904487732</v>
      </c>
      <c r="K121" s="205">
        <f t="shared" si="30"/>
        <v>2713.0330977751232</v>
      </c>
      <c r="L121" s="187">
        <f>K121*'Grid Power'!K48</f>
        <v>1307.9177399376249</v>
      </c>
      <c r="M121" s="196">
        <f t="shared" si="31"/>
        <v>31</v>
      </c>
      <c r="N121" s="178">
        <f>PMT(Constants!$D$21,M121,-NPV(Constants!$D$21,$J$91:L121))+Configurations!$D$62/M121</f>
        <v>941.75936460012167</v>
      </c>
      <c r="O121" s="206">
        <f t="shared" si="32"/>
        <v>863.29345490458877</v>
      </c>
    </row>
    <row r="122" spans="8:15" x14ac:dyDescent="0.3">
      <c r="H122" s="172">
        <v>32</v>
      </c>
      <c r="I122" s="186">
        <f>I121*(1-Constants!$D$11)</f>
        <v>0.85180185960034704</v>
      </c>
      <c r="J122" s="204">
        <f t="shared" si="29"/>
        <v>0.14819814039965296</v>
      </c>
      <c r="K122" s="205">
        <f t="shared" si="30"/>
        <v>2793.7243215365647</v>
      </c>
      <c r="L122" s="187">
        <f>K122*'Grid Power'!K49</f>
        <v>1411.8350230554333</v>
      </c>
      <c r="M122" s="196">
        <f t="shared" si="31"/>
        <v>32</v>
      </c>
      <c r="N122" s="178">
        <f>PMT(Constants!$D$21,M122,-NPV(Constants!$D$21,$J$91:L122))+Configurations!$D$62/M122</f>
        <v>931.57972982255535</v>
      </c>
      <c r="O122" s="206">
        <f t="shared" si="32"/>
        <v>863.29345490458877</v>
      </c>
    </row>
    <row r="123" spans="8:15" x14ac:dyDescent="0.3">
      <c r="H123" s="172">
        <v>33</v>
      </c>
      <c r="I123" s="186">
        <f>I122*(1-Constants!$D$11)</f>
        <v>0.84754285030234533</v>
      </c>
      <c r="J123" s="204">
        <f t="shared" si="29"/>
        <v>0.15245714969765467</v>
      </c>
      <c r="K123" s="205">
        <f t="shared" si="30"/>
        <v>2874.0120891791989</v>
      </c>
      <c r="L123" s="187">
        <f>K123*'Grid Power'!K50</f>
        <v>1522.6228995500028</v>
      </c>
      <c r="M123" s="196">
        <f t="shared" si="31"/>
        <v>33</v>
      </c>
      <c r="N123" s="178">
        <f>PMT(Constants!$D$21,M123,-NPV(Constants!$D$21,$J$91:L123))+Configurations!$D$62/M123</f>
        <v>921.83572490692654</v>
      </c>
      <c r="O123" s="206">
        <f t="shared" si="32"/>
        <v>863.29345490458877</v>
      </c>
    </row>
    <row r="124" spans="8:15" x14ac:dyDescent="0.3">
      <c r="H124" s="172">
        <v>34</v>
      </c>
      <c r="I124" s="186">
        <f>I123*(1-Constants!$D$11)</f>
        <v>0.84330513605083357</v>
      </c>
      <c r="J124" s="204">
        <f t="shared" si="29"/>
        <v>0.15669486394916643</v>
      </c>
      <c r="K124" s="205">
        <f t="shared" si="30"/>
        <v>2953.8984179836202</v>
      </c>
      <c r="L124" s="187">
        <f>K124*'Grid Power'!K51</f>
        <v>1640.7044104339591</v>
      </c>
      <c r="M124" s="196">
        <f t="shared" si="31"/>
        <v>34</v>
      </c>
      <c r="N124" s="178">
        <f>PMT(Constants!$D$21,M124,-NPV(Constants!$D$21,$J$91:L124))+Configurations!$D$62/M124</f>
        <v>912.49080882119779</v>
      </c>
      <c r="O124" s="206">
        <f t="shared" si="32"/>
        <v>863.29345490458877</v>
      </c>
    </row>
    <row r="125" spans="8:15" x14ac:dyDescent="0.3">
      <c r="H125" s="172">
        <v>35</v>
      </c>
      <c r="I125" s="186">
        <f>I124*(1-Constants!$D$11)</f>
        <v>0.83908861037057936</v>
      </c>
      <c r="J125" s="204">
        <f t="shared" si="29"/>
        <v>0.16091138962942064</v>
      </c>
      <c r="K125" s="205">
        <f t="shared" si="30"/>
        <v>3033.3853151440203</v>
      </c>
      <c r="L125" s="187">
        <f>K125*'Grid Power'!K52</f>
        <v>1766.5275741205314</v>
      </c>
      <c r="M125" s="196">
        <f t="shared" si="31"/>
        <v>35</v>
      </c>
      <c r="N125" s="178">
        <f>PMT(Constants!$D$21,M125,-NPV(Constants!$D$21,$J$91:L125))+Configurations!$D$62/M125</f>
        <v>903.51344177809983</v>
      </c>
      <c r="O125" s="206">
        <f t="shared" si="32"/>
        <v>863.29345490458877</v>
      </c>
    </row>
    <row r="126" spans="8:15" x14ac:dyDescent="0.3">
      <c r="H126" s="172">
        <v>36</v>
      </c>
      <c r="I126" s="186">
        <f>I125*(1-Constants!$D$11)</f>
        <v>0.83489316731872643</v>
      </c>
      <c r="J126" s="204">
        <f t="shared" si="29"/>
        <v>0.16510683268127357</v>
      </c>
      <c r="K126" s="205">
        <f t="shared" si="30"/>
        <v>3112.4747778186179</v>
      </c>
      <c r="L126" s="187">
        <f>K126*'Grid Power'!K53</f>
        <v>1900.5668187045289</v>
      </c>
      <c r="M126" s="196">
        <f t="shared" si="31"/>
        <v>36</v>
      </c>
      <c r="N126" s="178">
        <f>PMT(Constants!$D$21,M126,-NPV(Constants!$D$21,$J$91:L126))+Configurations!$D$62/M126</f>
        <v>894.87625927876866</v>
      </c>
      <c r="O126" s="206">
        <f t="shared" si="32"/>
        <v>863.29345490458877</v>
      </c>
    </row>
    <row r="127" spans="8:15" x14ac:dyDescent="0.3">
      <c r="H127" s="172">
        <v>37</v>
      </c>
      <c r="I127" s="186">
        <f>I126*(1-Constants!$D$11)</f>
        <v>0.83071870148213278</v>
      </c>
      <c r="J127" s="204">
        <f t="shared" si="29"/>
        <v>0.16928129851786722</v>
      </c>
      <c r="K127" s="205">
        <f t="shared" si="30"/>
        <v>3191.1687931798419</v>
      </c>
      <c r="L127" s="187">
        <f>K127*'Grid Power'!K54</f>
        <v>2043.3244946163961</v>
      </c>
      <c r="M127" s="196">
        <f t="shared" si="31"/>
        <v>37</v>
      </c>
      <c r="N127" s="178">
        <f>PMT(Constants!$D$21,M127,-NPV(Constants!$D$21,$J$91:L127))+Configurations!$D$62/M127</f>
        <v>886.55539460995749</v>
      </c>
      <c r="O127" s="206">
        <f t="shared" si="32"/>
        <v>863.29345490458877</v>
      </c>
    </row>
    <row r="128" spans="8:15" x14ac:dyDescent="0.3">
      <c r="H128" s="172">
        <v>38</v>
      </c>
      <c r="I128" s="186">
        <f>I127*(1-Constants!$D$11)</f>
        <v>0.82656510797472216</v>
      </c>
      <c r="J128" s="204">
        <f t="shared" si="29"/>
        <v>0.17343489202527784</v>
      </c>
      <c r="K128" s="205">
        <f t="shared" si="30"/>
        <v>3269.4693384642592</v>
      </c>
      <c r="L128" s="187">
        <f>K128*'Grid Power'!K55</f>
        <v>2195.3324720855817</v>
      </c>
      <c r="M128" s="196">
        <f t="shared" si="31"/>
        <v>38</v>
      </c>
      <c r="N128" s="178">
        <f>PMT(Constants!$D$21,M128,-NPV(Constants!$D$21,$J$91:L128))+Configurations!$D$62/M128</f>
        <v>878.52992106602574</v>
      </c>
      <c r="O128" s="206">
        <f t="shared" si="32"/>
        <v>863.29345490458877</v>
      </c>
    </row>
    <row r="129" spans="8:15" x14ac:dyDescent="0.3">
      <c r="H129" s="172">
        <v>39</v>
      </c>
      <c r="I129" s="186">
        <f>I128*(1-Constants!$D$11)</f>
        <v>0.82243228243484856</v>
      </c>
      <c r="J129" s="204">
        <f t="shared" si="29"/>
        <v>0.17756771756515144</v>
      </c>
      <c r="K129" s="205">
        <f t="shared" si="30"/>
        <v>3347.3783810222544</v>
      </c>
      <c r="L129" s="187">
        <f>K129*'Grid Power'!K56</f>
        <v>2357.1538280911677</v>
      </c>
      <c r="M129" s="196">
        <f t="shared" si="31"/>
        <v>39</v>
      </c>
      <c r="N129" s="178">
        <f>PMT(Constants!$D$21,M129,-NPV(Constants!$D$21,$J$91:L129))+Configurations!$D$62/M129</f>
        <v>870.78139118072886</v>
      </c>
      <c r="O129" s="206">
        <f t="shared" si="32"/>
        <v>863.29345490458877</v>
      </c>
    </row>
    <row r="130" spans="8:15" x14ac:dyDescent="0.3">
      <c r="H130" s="190">
        <v>40</v>
      </c>
      <c r="I130" s="191">
        <f>I129*(1-Constants!$D$11)</f>
        <v>0.81832012102267426</v>
      </c>
      <c r="J130" s="207">
        <f t="shared" si="29"/>
        <v>0.18167987897732574</v>
      </c>
      <c r="K130" s="228">
        <f t="shared" si="30"/>
        <v>3424.8978783674615</v>
      </c>
      <c r="L130" s="193">
        <f>K130*'Grid Power'!K57</f>
        <v>2529.3846277324797</v>
      </c>
      <c r="M130" s="208">
        <f t="shared" si="31"/>
        <v>40</v>
      </c>
      <c r="N130" s="185">
        <f>PMT(Constants!$D$21,M130,-NPV(Constants!$D$21,$J$91:L130))+Configurations!$D$62/M130</f>
        <v>863.29345490458877</v>
      </c>
      <c r="O130" s="206">
        <f t="shared" si="32"/>
        <v>863.29345490458877</v>
      </c>
    </row>
  </sheetData>
  <mergeCells count="42">
    <mergeCell ref="B3:F3"/>
    <mergeCell ref="H3:AF3"/>
    <mergeCell ref="H4:H6"/>
    <mergeCell ref="I4:K4"/>
    <mergeCell ref="L4:O4"/>
    <mergeCell ref="P4:Q4"/>
    <mergeCell ref="R4:S4"/>
    <mergeCell ref="T4:V4"/>
    <mergeCell ref="W4:Y4"/>
    <mergeCell ref="Z4:AB4"/>
    <mergeCell ref="AE4:AF4"/>
    <mergeCell ref="I5:I6"/>
    <mergeCell ref="H14:AF14"/>
    <mergeCell ref="H15:H17"/>
    <mergeCell ref="I15:K15"/>
    <mergeCell ref="L15:O15"/>
    <mergeCell ref="P15:Q15"/>
    <mergeCell ref="R15:S15"/>
    <mergeCell ref="T15:V15"/>
    <mergeCell ref="W15:Y15"/>
    <mergeCell ref="Z15:AB15"/>
    <mergeCell ref="AE15:AF15"/>
    <mergeCell ref="I16:I17"/>
    <mergeCell ref="H40:AF40"/>
    <mergeCell ref="H41:H43"/>
    <mergeCell ref="I41:K41"/>
    <mergeCell ref="L41:O41"/>
    <mergeCell ref="P41:Q41"/>
    <mergeCell ref="R41:S41"/>
    <mergeCell ref="T41:V41"/>
    <mergeCell ref="W41:Y41"/>
    <mergeCell ref="Z41:AB41"/>
    <mergeCell ref="AE41:AF41"/>
    <mergeCell ref="I42:I43"/>
    <mergeCell ref="H86:N86"/>
    <mergeCell ref="H88:H89"/>
    <mergeCell ref="I88:I89"/>
    <mergeCell ref="J88:J89"/>
    <mergeCell ref="M88:M89"/>
    <mergeCell ref="B20:B23"/>
    <mergeCell ref="H87:L87"/>
    <mergeCell ref="M87:N87"/>
  </mergeCells>
  <pageMargins left="0.7" right="0.7" top="0.75" bottom="0.75" header="0.3" footer="0.3"/>
  <pageSetup scale="23" orientation="portrait" r:id="rId1"/>
  <colBreaks count="2" manualBreakCount="2">
    <brk id="1" max="1048575" man="1"/>
    <brk id="6" max="1048575" man="1"/>
  </col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7D7C-1163-4557-9873-79783657A189}">
  <dimension ref="B2:N44"/>
  <sheetViews>
    <sheetView showGridLines="0" zoomScale="85" zoomScaleNormal="85" workbookViewId="0">
      <selection activeCell="G17" sqref="G17"/>
    </sheetView>
  </sheetViews>
  <sheetFormatPr defaultRowHeight="16.5" x14ac:dyDescent="0.3"/>
  <cols>
    <col min="1" max="1" width="9.140625" style="162"/>
    <col min="2" max="2" width="12.85546875" style="162" bestFit="1" customWidth="1"/>
    <col min="3" max="4" width="14.28515625" style="162" bestFit="1" customWidth="1"/>
    <col min="5" max="5" width="9.140625" style="162"/>
    <col min="6" max="6" width="19.140625" style="162" bestFit="1" customWidth="1"/>
    <col min="7" max="7" width="4.5703125" style="162" bestFit="1" customWidth="1"/>
    <col min="8" max="8" width="9.140625" style="162"/>
    <col min="9" max="11" width="12.85546875" style="162" bestFit="1" customWidth="1"/>
    <col min="12" max="12" width="9.140625" style="162"/>
    <col min="13" max="13" width="19.140625" style="162" bestFit="1" customWidth="1"/>
    <col min="14" max="14" width="4.5703125" style="162" bestFit="1" customWidth="1"/>
    <col min="15" max="16384" width="9.140625" style="162"/>
  </cols>
  <sheetData>
    <row r="2" spans="2:14" x14ac:dyDescent="0.3">
      <c r="B2" s="239">
        <v>0.15</v>
      </c>
      <c r="I2" s="239">
        <v>0.05</v>
      </c>
    </row>
    <row r="3" spans="2:14" x14ac:dyDescent="0.3">
      <c r="B3" s="238" t="s">
        <v>226</v>
      </c>
      <c r="C3" s="238" t="s">
        <v>248</v>
      </c>
      <c r="D3" s="238" t="s">
        <v>268</v>
      </c>
      <c r="F3" s="201" t="s">
        <v>269</v>
      </c>
      <c r="G3" s="302">
        <f>IRR(D4:D44)</f>
        <v>8.0803375003381861E-2</v>
      </c>
      <c r="I3" s="238" t="s">
        <v>226</v>
      </c>
      <c r="J3" s="238" t="s">
        <v>248</v>
      </c>
      <c r="K3" s="238" t="s">
        <v>268</v>
      </c>
      <c r="M3" s="201" t="s">
        <v>269</v>
      </c>
      <c r="N3" s="302">
        <f>IRR(K4:K44)</f>
        <v>5.4381448610380412E-2</v>
      </c>
    </row>
    <row r="4" spans="2:14" x14ac:dyDescent="0.3">
      <c r="B4" s="211">
        <v>0</v>
      </c>
      <c r="C4" s="211">
        <v>0</v>
      </c>
      <c r="D4" s="211">
        <f>C4-B4</f>
        <v>0</v>
      </c>
      <c r="I4" s="211">
        <v>0</v>
      </c>
      <c r="J4" s="211">
        <v>0</v>
      </c>
      <c r="K4" s="211">
        <f>J4-I4</f>
        <v>0</v>
      </c>
    </row>
    <row r="5" spans="2:14" x14ac:dyDescent="0.3">
      <c r="B5" s="211">
        <v>-328.9393341134363</v>
      </c>
      <c r="C5" s="211">
        <v>-358.14511172504695</v>
      </c>
      <c r="D5" s="211">
        <f t="shared" ref="D5:D44" si="0">C5-B5</f>
        <v>-29.205777611610642</v>
      </c>
      <c r="I5" s="211">
        <v>-2192.6756562003143</v>
      </c>
      <c r="J5" s="211">
        <v>-3541.8080075278444</v>
      </c>
      <c r="K5" s="211">
        <f t="shared" ref="K5:K44" si="1">J5-I5</f>
        <v>-1349.1323513275302</v>
      </c>
    </row>
    <row r="6" spans="2:14" x14ac:dyDescent="0.3">
      <c r="B6" s="211">
        <v>-291.00168079053492</v>
      </c>
      <c r="C6" s="211">
        <v>-309.94445055680711</v>
      </c>
      <c r="D6" s="211">
        <f t="shared" si="0"/>
        <v>-18.942769766272193</v>
      </c>
      <c r="I6" s="211">
        <v>-2118.1941534247289</v>
      </c>
      <c r="J6" s="211">
        <v>-3431.1825836968046</v>
      </c>
      <c r="K6" s="211">
        <f t="shared" si="1"/>
        <v>-1312.9884302720757</v>
      </c>
    </row>
    <row r="7" spans="2:14" x14ac:dyDescent="0.3">
      <c r="B7" s="211">
        <v>-253.06130486534107</v>
      </c>
      <c r="C7" s="211">
        <v>-261.75826133932054</v>
      </c>
      <c r="D7" s="211">
        <f t="shared" si="0"/>
        <v>-8.6969564739794691</v>
      </c>
      <c r="I7" s="211">
        <v>-2044.426474114551</v>
      </c>
      <c r="J7" s="211">
        <v>-3321.7956467706908</v>
      </c>
      <c r="K7" s="211">
        <f t="shared" si="1"/>
        <v>-1277.3691726561399</v>
      </c>
    </row>
    <row r="8" spans="2:14" x14ac:dyDescent="0.3">
      <c r="B8" s="211">
        <v>-215.09578101628802</v>
      </c>
      <c r="C8" s="211">
        <v>-213.55497210144213</v>
      </c>
      <c r="D8" s="211">
        <f t="shared" si="0"/>
        <v>1.5408089148458828</v>
      </c>
      <c r="I8" s="211">
        <v>-1971.3361430253171</v>
      </c>
      <c r="J8" s="211">
        <v>-3213.5916244851373</v>
      </c>
      <c r="K8" s="211">
        <f t="shared" si="1"/>
        <v>-1242.2554814598202</v>
      </c>
    </row>
    <row r="9" spans="2:14" x14ac:dyDescent="0.3">
      <c r="B9" s="211">
        <v>-177.08249164223005</v>
      </c>
      <c r="C9" s="211">
        <v>-165.30275056964928</v>
      </c>
      <c r="D9" s="211">
        <f t="shared" si="0"/>
        <v>11.779741072580777</v>
      </c>
      <c r="I9" s="211">
        <v>-1898.8867681216707</v>
      </c>
      <c r="J9" s="211">
        <v>-3106.5151548673916</v>
      </c>
      <c r="K9" s="211">
        <f t="shared" si="1"/>
        <v>-1207.6283867457209</v>
      </c>
    </row>
    <row r="10" spans="2:14" x14ac:dyDescent="0.3">
      <c r="B10" s="211">
        <v>-138.99861203392368</v>
      </c>
      <c r="C10" s="211">
        <v>-116.96948212652809</v>
      </c>
      <c r="D10" s="211">
        <f t="shared" si="0"/>
        <v>22.029129907395586</v>
      </c>
      <c r="I10" s="211">
        <v>1044.0784438753547</v>
      </c>
      <c r="J10" s="211">
        <v>1897.7175215487082</v>
      </c>
      <c r="K10" s="211">
        <f t="shared" si="1"/>
        <v>853.63907767335354</v>
      </c>
    </row>
    <row r="11" spans="2:14" x14ac:dyDescent="0.3">
      <c r="B11" s="211">
        <v>-100.82109529629275</v>
      </c>
      <c r="C11" s="211">
        <v>-68.522747398505771</v>
      </c>
      <c r="D11" s="211">
        <f t="shared" si="0"/>
        <v>32.298347897786982</v>
      </c>
      <c r="I11" s="211">
        <v>1034.8820117080393</v>
      </c>
      <c r="J11" s="211">
        <v>1865.3479625651062</v>
      </c>
      <c r="K11" s="211">
        <f t="shared" si="1"/>
        <v>830.4659508570669</v>
      </c>
    </row>
    <row r="12" spans="2:14" x14ac:dyDescent="0.3">
      <c r="B12" s="211">
        <v>-62.526657010438129</v>
      </c>
      <c r="C12" s="211">
        <v>-19.929799455780124</v>
      </c>
      <c r="D12" s="211">
        <f t="shared" si="0"/>
        <v>42.596857554658001</v>
      </c>
      <c r="I12" s="211">
        <v>1032.6110020972435</v>
      </c>
      <c r="J12" s="211">
        <v>1845.2118204070639</v>
      </c>
      <c r="K12" s="211">
        <f t="shared" si="1"/>
        <v>812.6008183098204</v>
      </c>
    </row>
    <row r="13" spans="2:14" x14ac:dyDescent="0.3">
      <c r="B13" s="211">
        <v>-24.091759624107326</v>
      </c>
      <c r="C13" s="211">
        <v>28.842459393013534</v>
      </c>
      <c r="D13" s="211">
        <f t="shared" si="0"/>
        <v>52.93421901712086</v>
      </c>
      <c r="I13" s="211">
        <v>1035.372872907154</v>
      </c>
      <c r="J13" s="211">
        <v>1833.9354543302304</v>
      </c>
      <c r="K13" s="211">
        <f t="shared" si="1"/>
        <v>798.56258142307638</v>
      </c>
    </row>
    <row r="14" spans="2:14" x14ac:dyDescent="0.3">
      <c r="B14" s="211">
        <v>-5178.9536134087111</v>
      </c>
      <c r="C14" s="211">
        <v>-9159.9506340048865</v>
      </c>
      <c r="D14" s="211">
        <f t="shared" si="0"/>
        <v>-3980.9970205961754</v>
      </c>
      <c r="I14" s="211">
        <v>-4062.9902597385758</v>
      </c>
      <c r="J14" s="211">
        <v>-7253.6449618714814</v>
      </c>
      <c r="K14" s="211">
        <f t="shared" si="1"/>
        <v>-3190.6547021329056</v>
      </c>
    </row>
    <row r="15" spans="2:14" x14ac:dyDescent="0.3">
      <c r="B15" s="211">
        <v>53.294923976360245</v>
      </c>
      <c r="C15" s="211">
        <v>127.05919659425716</v>
      </c>
      <c r="D15" s="211">
        <f t="shared" si="0"/>
        <v>73.764272617896921</v>
      </c>
      <c r="I15" s="211">
        <v>1117.0317100822228</v>
      </c>
      <c r="J15" s="211">
        <v>1946.4997910314585</v>
      </c>
      <c r="K15" s="211">
        <f t="shared" si="1"/>
        <v>829.46808094923563</v>
      </c>
    </row>
    <row r="16" spans="2:14" x14ac:dyDescent="0.3">
      <c r="B16" s="211">
        <v>92.295195481935153</v>
      </c>
      <c r="C16" s="211">
        <v>176.5718390192028</v>
      </c>
      <c r="D16" s="211">
        <f t="shared" si="0"/>
        <v>84.276643537267645</v>
      </c>
      <c r="I16" s="211">
        <v>1164.9243320353139</v>
      </c>
      <c r="J16" s="211">
        <v>2008.8533385707256</v>
      </c>
      <c r="K16" s="211">
        <f t="shared" si="1"/>
        <v>843.92900653541165</v>
      </c>
    </row>
    <row r="17" spans="2:11" x14ac:dyDescent="0.3">
      <c r="B17" s="211">
        <v>131.53292997930399</v>
      </c>
      <c r="C17" s="211">
        <v>226.40017003457919</v>
      </c>
      <c r="D17" s="211">
        <f t="shared" si="0"/>
        <v>94.867240055275204</v>
      </c>
      <c r="I17" s="211">
        <v>1156.1907293818299</v>
      </c>
      <c r="J17" s="211">
        <v>1983.0083531011744</v>
      </c>
      <c r="K17" s="211">
        <f t="shared" si="1"/>
        <v>826.81762371934451</v>
      </c>
    </row>
    <row r="18" spans="2:11" x14ac:dyDescent="0.3">
      <c r="B18" s="211">
        <v>171.03317515805543</v>
      </c>
      <c r="C18" s="211">
        <v>276.57940467847237</v>
      </c>
      <c r="D18" s="211">
        <f t="shared" si="0"/>
        <v>105.54622952041694</v>
      </c>
      <c r="I18" s="211">
        <v>1148.4247466679317</v>
      </c>
      <c r="J18" s="211">
        <v>1952.4303542941564</v>
      </c>
      <c r="K18" s="211">
        <f t="shared" si="1"/>
        <v>804.00560762622467</v>
      </c>
    </row>
    <row r="19" spans="2:11" x14ac:dyDescent="0.3">
      <c r="B19" s="211">
        <v>210.8213318667913</v>
      </c>
      <c r="C19" s="211">
        <v>327.14525752404444</v>
      </c>
      <c r="D19" s="211">
        <f t="shared" si="0"/>
        <v>116.32392565725314</v>
      </c>
      <c r="I19" s="211">
        <v>1148.2805834108867</v>
      </c>
      <c r="J19" s="211">
        <v>1935.2709249201462</v>
      </c>
      <c r="K19" s="211">
        <f t="shared" si="1"/>
        <v>786.99034150925945</v>
      </c>
    </row>
    <row r="20" spans="2:11" x14ac:dyDescent="0.3">
      <c r="B20" s="211">
        <v>1153.7356280322169</v>
      </c>
      <c r="C20" s="211">
        <v>1927.9242425543459</v>
      </c>
      <c r="D20" s="211">
        <f t="shared" si="0"/>
        <v>774.188614522129</v>
      </c>
      <c r="I20" s="211">
        <v>1153.7356280322169</v>
      </c>
      <c r="J20" s="211">
        <v>1927.9242425543459</v>
      </c>
      <c r="K20" s="211">
        <f t="shared" si="1"/>
        <v>774.188614522129</v>
      </c>
    </row>
    <row r="21" spans="2:11" x14ac:dyDescent="0.3">
      <c r="B21" s="211">
        <v>1163.3744989201175</v>
      </c>
      <c r="C21" s="211">
        <v>1927.8644494161056</v>
      </c>
      <c r="D21" s="211">
        <f t="shared" si="0"/>
        <v>764.48995049598807</v>
      </c>
      <c r="I21" s="211">
        <v>1163.3744989201175</v>
      </c>
      <c r="J21" s="211">
        <v>1927.8644494161056</v>
      </c>
      <c r="K21" s="211">
        <f t="shared" si="1"/>
        <v>764.48995049598807</v>
      </c>
    </row>
    <row r="22" spans="2:11" x14ac:dyDescent="0.3">
      <c r="B22" s="211">
        <v>1176.205671695064</v>
      </c>
      <c r="C22" s="211">
        <v>1933.319476663351</v>
      </c>
      <c r="D22" s="211">
        <f t="shared" si="0"/>
        <v>757.11380496828701</v>
      </c>
      <c r="I22" s="211">
        <v>1176.205671695064</v>
      </c>
      <c r="J22" s="211">
        <v>1933.319476663351</v>
      </c>
      <c r="K22" s="211">
        <f t="shared" si="1"/>
        <v>757.11380496828701</v>
      </c>
    </row>
    <row r="23" spans="2:11" x14ac:dyDescent="0.3">
      <c r="B23" s="211">
        <v>1191.5341523844313</v>
      </c>
      <c r="C23" s="211">
        <v>1943.0445592690783</v>
      </c>
      <c r="D23" s="211">
        <f t="shared" si="0"/>
        <v>751.51040688464695</v>
      </c>
      <c r="I23" s="211">
        <v>1191.5341523844313</v>
      </c>
      <c r="J23" s="211">
        <v>1943.0445592690783</v>
      </c>
      <c r="K23" s="211">
        <f t="shared" si="1"/>
        <v>751.51040688464695</v>
      </c>
    </row>
    <row r="24" spans="2:11" x14ac:dyDescent="0.3">
      <c r="B24" s="211">
        <v>-2929.9714557475213</v>
      </c>
      <c r="C24" s="211">
        <v>-5427.2988030136876</v>
      </c>
      <c r="D24" s="211">
        <f t="shared" si="0"/>
        <v>-2497.3273472661663</v>
      </c>
      <c r="I24" s="211">
        <v>-2929.9714557475213</v>
      </c>
      <c r="J24" s="211">
        <v>-5427.2988030136876</v>
      </c>
      <c r="K24" s="211">
        <f t="shared" si="1"/>
        <v>-2497.3273472661663</v>
      </c>
    </row>
    <row r="25" spans="2:11" x14ac:dyDescent="0.3">
      <c r="B25" s="211">
        <v>1281.9354249479238</v>
      </c>
      <c r="C25" s="211">
        <v>2068.2129345608787</v>
      </c>
      <c r="D25" s="211">
        <f t="shared" si="0"/>
        <v>786.27750961295487</v>
      </c>
      <c r="I25" s="211">
        <v>1281.9354249479238</v>
      </c>
      <c r="J25" s="211">
        <v>2068.2129345608787</v>
      </c>
      <c r="K25" s="211">
        <f t="shared" si="1"/>
        <v>786.27750961295487</v>
      </c>
    </row>
    <row r="26" spans="2:11" x14ac:dyDescent="0.3">
      <c r="B26" s="211">
        <v>1340.1046878810375</v>
      </c>
      <c r="C26" s="211">
        <v>2153.5599847756403</v>
      </c>
      <c r="D26" s="211">
        <f t="shared" si="0"/>
        <v>813.45529689460272</v>
      </c>
      <c r="I26" s="211">
        <v>1340.1046878810375</v>
      </c>
      <c r="J26" s="211">
        <v>2153.5599847756403</v>
      </c>
      <c r="K26" s="211">
        <f t="shared" si="1"/>
        <v>813.45529689460272</v>
      </c>
    </row>
    <row r="27" spans="2:11" x14ac:dyDescent="0.3">
      <c r="B27" s="211">
        <v>1336.0080571443002</v>
      </c>
      <c r="C27" s="211">
        <v>2127.9352051810611</v>
      </c>
      <c r="D27" s="211">
        <f t="shared" si="0"/>
        <v>791.92714803676085</v>
      </c>
      <c r="I27" s="211">
        <v>1336.0080571443002</v>
      </c>
      <c r="J27" s="211">
        <v>2127.9352051810611</v>
      </c>
      <c r="K27" s="211">
        <f t="shared" si="1"/>
        <v>791.92714803676085</v>
      </c>
    </row>
    <row r="28" spans="2:11" x14ac:dyDescent="0.3">
      <c r="B28" s="211">
        <v>1340.5293042525448</v>
      </c>
      <c r="C28" s="211">
        <v>2117.4140922895722</v>
      </c>
      <c r="D28" s="211">
        <f t="shared" si="0"/>
        <v>776.88478803702742</v>
      </c>
      <c r="I28" s="211">
        <v>1340.5293042525448</v>
      </c>
      <c r="J28" s="211">
        <v>2117.4140922895722</v>
      </c>
      <c r="K28" s="211">
        <f t="shared" si="1"/>
        <v>776.88478803702742</v>
      </c>
    </row>
    <row r="29" spans="2:11" x14ac:dyDescent="0.3">
      <c r="B29" s="211">
        <v>1351.3914513623613</v>
      </c>
      <c r="C29" s="211">
        <v>2117.9383626772615</v>
      </c>
      <c r="D29" s="211">
        <f t="shared" si="0"/>
        <v>766.54691131490017</v>
      </c>
      <c r="I29" s="211">
        <v>1351.3914513623613</v>
      </c>
      <c r="J29" s="211">
        <v>2117.9383626772615</v>
      </c>
      <c r="K29" s="211">
        <f t="shared" si="1"/>
        <v>766.54691131490017</v>
      </c>
    </row>
    <row r="30" spans="2:11" x14ac:dyDescent="0.3">
      <c r="B30" s="211">
        <v>1367.0051391638335</v>
      </c>
      <c r="C30" s="211">
        <v>2126.6724665686297</v>
      </c>
      <c r="D30" s="211">
        <f t="shared" si="0"/>
        <v>759.6673274047962</v>
      </c>
      <c r="I30" s="211">
        <v>1367.0051391638335</v>
      </c>
      <c r="J30" s="211">
        <v>2126.6724665686297</v>
      </c>
      <c r="K30" s="211">
        <f t="shared" si="1"/>
        <v>759.6673274047962</v>
      </c>
    </row>
    <row r="31" spans="2:11" x14ac:dyDescent="0.3">
      <c r="B31" s="211">
        <v>1386.2603915088148</v>
      </c>
      <c r="C31" s="211">
        <v>2141.6332080521283</v>
      </c>
      <c r="D31" s="211">
        <f t="shared" si="0"/>
        <v>755.37281654331355</v>
      </c>
      <c r="I31" s="211">
        <v>1386.2603915088148</v>
      </c>
      <c r="J31" s="211">
        <v>2141.6332080521283</v>
      </c>
      <c r="K31" s="211">
        <f t="shared" si="1"/>
        <v>755.37281654331355</v>
      </c>
    </row>
    <row r="32" spans="2:11" x14ac:dyDescent="0.3">
      <c r="B32" s="211">
        <v>1408.3821530887406</v>
      </c>
      <c r="C32" s="211">
        <v>2161.4327978960619</v>
      </c>
      <c r="D32" s="211">
        <f t="shared" si="0"/>
        <v>753.05064480732131</v>
      </c>
      <c r="I32" s="211">
        <v>1408.3821530887406</v>
      </c>
      <c r="J32" s="211">
        <v>2161.4327978960619</v>
      </c>
      <c r="K32" s="211">
        <f t="shared" si="1"/>
        <v>753.05064480732131</v>
      </c>
    </row>
    <row r="33" spans="2:11" x14ac:dyDescent="0.3">
      <c r="B33" s="211">
        <v>1432.8299292381969</v>
      </c>
      <c r="C33" s="211">
        <v>2185.1003499395929</v>
      </c>
      <c r="D33" s="211">
        <f t="shared" si="0"/>
        <v>752.27042070139601</v>
      </c>
      <c r="I33" s="211">
        <v>1432.8299292381969</v>
      </c>
      <c r="J33" s="211">
        <v>2185.1003499395929</v>
      </c>
      <c r="K33" s="211">
        <f t="shared" si="1"/>
        <v>752.27042070139601</v>
      </c>
    </row>
    <row r="34" spans="2:11" x14ac:dyDescent="0.3">
      <c r="B34" s="211">
        <v>-1883.2743469270677</v>
      </c>
      <c r="C34" s="211">
        <v>-3775.7037941089184</v>
      </c>
      <c r="D34" s="211">
        <f t="shared" si="0"/>
        <v>-1892.4294471818507</v>
      </c>
      <c r="I34" s="211">
        <v>-1883.2743469270677</v>
      </c>
      <c r="J34" s="211">
        <v>-3775.7037941089184</v>
      </c>
      <c r="K34" s="211">
        <f t="shared" si="1"/>
        <v>-1892.4294471818507</v>
      </c>
    </row>
    <row r="35" spans="2:11" x14ac:dyDescent="0.3">
      <c r="B35" s="211">
        <v>1531.6597279647892</v>
      </c>
      <c r="C35" s="211">
        <v>2320.4074335538462</v>
      </c>
      <c r="D35" s="211">
        <f t="shared" si="0"/>
        <v>788.74770558905698</v>
      </c>
      <c r="I35" s="211">
        <v>1531.6597279647892</v>
      </c>
      <c r="J35" s="211">
        <v>2320.4074335538462</v>
      </c>
      <c r="K35" s="211">
        <f t="shared" si="1"/>
        <v>788.74770558905698</v>
      </c>
    </row>
    <row r="36" spans="2:11" x14ac:dyDescent="0.3">
      <c r="B36" s="211">
        <v>1592.2066016039807</v>
      </c>
      <c r="C36" s="211">
        <v>2407.4174316582298</v>
      </c>
      <c r="D36" s="211">
        <f t="shared" si="0"/>
        <v>815.21083005424907</v>
      </c>
      <c r="I36" s="211">
        <v>1592.2066016039807</v>
      </c>
      <c r="J36" s="211">
        <v>2407.4174316582298</v>
      </c>
      <c r="K36" s="211">
        <f t="shared" si="1"/>
        <v>815.21083005424907</v>
      </c>
    </row>
    <row r="37" spans="2:11" x14ac:dyDescent="0.3">
      <c r="B37" s="211">
        <v>1602.0227457368931</v>
      </c>
      <c r="C37" s="211">
        <v>2403.8806350944651</v>
      </c>
      <c r="D37" s="211">
        <f t="shared" si="0"/>
        <v>801.85788935757205</v>
      </c>
      <c r="I37" s="211">
        <v>1602.0227457368931</v>
      </c>
      <c r="J37" s="211">
        <v>2403.8806350944651</v>
      </c>
      <c r="K37" s="211">
        <f t="shared" si="1"/>
        <v>801.85788935757205</v>
      </c>
    </row>
    <row r="38" spans="2:11" x14ac:dyDescent="0.3">
      <c r="B38" s="211">
        <v>1619.2725913520571</v>
      </c>
      <c r="C38" s="211">
        <v>2413.2450219341263</v>
      </c>
      <c r="D38" s="211">
        <f t="shared" si="0"/>
        <v>793.97243058206914</v>
      </c>
      <c r="I38" s="211">
        <v>1619.2725913520571</v>
      </c>
      <c r="J38" s="211">
        <v>2413.2450219341263</v>
      </c>
      <c r="K38" s="211">
        <f t="shared" si="1"/>
        <v>793.97243058206914</v>
      </c>
    </row>
    <row r="39" spans="2:11" x14ac:dyDescent="0.3">
      <c r="B39" s="211">
        <v>1642.10251572065</v>
      </c>
      <c r="C39" s="211">
        <v>2432.2022129126949</v>
      </c>
      <c r="D39" s="211">
        <f t="shared" si="0"/>
        <v>790.09969719204491</v>
      </c>
      <c r="I39" s="211">
        <v>1642.10251572065</v>
      </c>
      <c r="J39" s="211">
        <v>2432.2022129126949</v>
      </c>
      <c r="K39" s="211">
        <f t="shared" si="1"/>
        <v>790.09969719204491</v>
      </c>
    </row>
    <row r="40" spans="2:11" x14ac:dyDescent="0.3">
      <c r="B40" s="211">
        <v>1669.2225382530839</v>
      </c>
      <c r="C40" s="211">
        <v>2458.4461052878546</v>
      </c>
      <c r="D40" s="211">
        <f t="shared" si="0"/>
        <v>789.22356703477067</v>
      </c>
      <c r="I40" s="211">
        <v>1669.2225382530839</v>
      </c>
      <c r="J40" s="211">
        <v>2458.4461052878546</v>
      </c>
      <c r="K40" s="211">
        <f t="shared" si="1"/>
        <v>789.22356703477067</v>
      </c>
    </row>
    <row r="41" spans="2:11" x14ac:dyDescent="0.3">
      <c r="B41" s="211">
        <v>1699.7357157322897</v>
      </c>
      <c r="C41" s="211">
        <v>2490.3694113911733</v>
      </c>
      <c r="D41" s="211">
        <f t="shared" si="0"/>
        <v>790.63369565888365</v>
      </c>
      <c r="I41" s="211">
        <v>1699.7357157322897</v>
      </c>
      <c r="J41" s="211">
        <v>2490.3694113911733</v>
      </c>
      <c r="K41" s="211">
        <f t="shared" si="1"/>
        <v>790.63369565888365</v>
      </c>
    </row>
    <row r="42" spans="2:11" x14ac:dyDescent="0.3">
      <c r="B42" s="211">
        <v>1733.0197904155073</v>
      </c>
      <c r="C42" s="211">
        <v>2526.8531401824221</v>
      </c>
      <c r="D42" s="211">
        <f t="shared" si="0"/>
        <v>793.83334976691481</v>
      </c>
      <c r="I42" s="211">
        <v>1733.0197904155073</v>
      </c>
      <c r="J42" s="211">
        <v>2526.8531401824221</v>
      </c>
      <c r="K42" s="211">
        <f t="shared" si="1"/>
        <v>793.83334976691481</v>
      </c>
    </row>
    <row r="43" spans="2:11" x14ac:dyDescent="0.3">
      <c r="B43" s="211">
        <v>1768.644973743415</v>
      </c>
      <c r="C43" s="211">
        <v>2567.1203535880381</v>
      </c>
      <c r="D43" s="211">
        <f t="shared" si="0"/>
        <v>798.47537984462315</v>
      </c>
      <c r="I43" s="211">
        <v>1768.644973743415</v>
      </c>
      <c r="J43" s="211">
        <v>2567.1203535880381</v>
      </c>
      <c r="K43" s="211">
        <f t="shared" si="1"/>
        <v>798.47537984462315</v>
      </c>
    </row>
    <row r="44" spans="2:11" x14ac:dyDescent="0.3">
      <c r="B44" s="211">
        <v>2063.6206014386366</v>
      </c>
      <c r="C44" s="211">
        <v>2980.6246113704433</v>
      </c>
      <c r="D44" s="211">
        <f t="shared" si="0"/>
        <v>917.00400993180665</v>
      </c>
      <c r="I44" s="211">
        <v>2063.6206014386366</v>
      </c>
      <c r="J44" s="211">
        <v>2980.6246113704433</v>
      </c>
      <c r="K44" s="211">
        <f t="shared" si="1"/>
        <v>917.00400993180665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4"/>
  <sheetViews>
    <sheetView topLeftCell="A7" workbookViewId="0">
      <selection activeCell="B21" sqref="B21"/>
    </sheetView>
  </sheetViews>
  <sheetFormatPr defaultColWidth="8.85546875" defaultRowHeight="15" x14ac:dyDescent="0.25"/>
  <sheetData>
    <row r="1" spans="1:2" x14ac:dyDescent="0.25">
      <c r="A1" t="s">
        <v>22</v>
      </c>
    </row>
    <row r="2" spans="1:2" x14ac:dyDescent="0.25">
      <c r="A2" t="s">
        <v>23</v>
      </c>
      <c r="B2" t="s">
        <v>24</v>
      </c>
    </row>
    <row r="3" spans="1:2" x14ac:dyDescent="0.25">
      <c r="B3" t="s">
        <v>25</v>
      </c>
    </row>
    <row r="5" spans="1:2" x14ac:dyDescent="0.25">
      <c r="B5" s="294" t="s">
        <v>26</v>
      </c>
    </row>
    <row r="7" spans="1:2" x14ac:dyDescent="0.25">
      <c r="B7" t="s">
        <v>29</v>
      </c>
    </row>
    <row r="8" spans="1:2" x14ac:dyDescent="0.25">
      <c r="B8" s="294" t="s">
        <v>30</v>
      </c>
    </row>
    <row r="10" spans="1:2" x14ac:dyDescent="0.25">
      <c r="B10" t="s">
        <v>31</v>
      </c>
    </row>
    <row r="11" spans="1:2" x14ac:dyDescent="0.25">
      <c r="B11" s="294" t="s">
        <v>32</v>
      </c>
    </row>
    <row r="13" spans="1:2" x14ac:dyDescent="0.25">
      <c r="B13" t="s">
        <v>33</v>
      </c>
    </row>
    <row r="14" spans="1:2" x14ac:dyDescent="0.25">
      <c r="B14" t="s">
        <v>34</v>
      </c>
    </row>
    <row r="15" spans="1:2" x14ac:dyDescent="0.25">
      <c r="B15" t="s">
        <v>35</v>
      </c>
    </row>
    <row r="16" spans="1:2" x14ac:dyDescent="0.25">
      <c r="B16" t="s">
        <v>36</v>
      </c>
    </row>
    <row r="17" spans="2:12" x14ac:dyDescent="0.25">
      <c r="B17" t="s">
        <v>37</v>
      </c>
    </row>
    <row r="18" spans="2:12" x14ac:dyDescent="0.25">
      <c r="B18" t="s">
        <v>38</v>
      </c>
    </row>
    <row r="20" spans="2:12" x14ac:dyDescent="0.25">
      <c r="B20" t="s">
        <v>40</v>
      </c>
    </row>
    <row r="21" spans="2:12" x14ac:dyDescent="0.25">
      <c r="B21" t="s">
        <v>39</v>
      </c>
      <c r="H21" t="s">
        <v>41</v>
      </c>
    </row>
    <row r="23" spans="2:12" x14ac:dyDescent="0.25">
      <c r="B23" t="s">
        <v>45</v>
      </c>
    </row>
    <row r="24" spans="2:12" x14ac:dyDescent="0.25">
      <c r="B24" t="s">
        <v>46</v>
      </c>
      <c r="J24">
        <v>2018</v>
      </c>
      <c r="K24">
        <v>2008</v>
      </c>
      <c r="L24" t="s">
        <v>50</v>
      </c>
    </row>
    <row r="25" spans="2:12" x14ac:dyDescent="0.25">
      <c r="B25" t="s">
        <v>49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47</v>
      </c>
      <c r="J27">
        <v>2018</v>
      </c>
      <c r="K27" s="5">
        <v>0.35499999999999998</v>
      </c>
    </row>
    <row r="28" spans="2:12" x14ac:dyDescent="0.25">
      <c r="B28" t="s">
        <v>48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51</v>
      </c>
    </row>
    <row r="33" spans="2:2" x14ac:dyDescent="0.25">
      <c r="B33" t="s">
        <v>261</v>
      </c>
    </row>
    <row r="34" spans="2:2" x14ac:dyDescent="0.25">
      <c r="B34" t="s">
        <v>262</v>
      </c>
    </row>
  </sheetData>
  <hyperlinks>
    <hyperlink ref="B11" r:id="rId1" xr:uid="{3BF03C66-4FDF-4A51-BAF5-B4F8D5FCFFD5}"/>
    <hyperlink ref="B5" r:id="rId2" xr:uid="{CE7979C7-675A-40B4-807F-7BDDD58CE767}"/>
    <hyperlink ref="B8" r:id="rId3" xr:uid="{C7B11EA5-E319-486E-8B8F-ADC304035FD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FF82-0897-4769-BDCA-1307A9E942F6}">
  <sheetPr>
    <tabColor rgb="FF00B050"/>
  </sheetPr>
  <dimension ref="B1:N42"/>
  <sheetViews>
    <sheetView workbookViewId="0">
      <selection activeCell="Q41" sqref="Q41"/>
    </sheetView>
  </sheetViews>
  <sheetFormatPr defaultRowHeight="15" x14ac:dyDescent="0.25"/>
  <cols>
    <col min="3" max="4" width="10.5703125" bestFit="1" customWidth="1"/>
    <col min="5" max="6" width="11.5703125" bestFit="1" customWidth="1"/>
    <col min="7" max="8" width="12.5703125" bestFit="1" customWidth="1"/>
    <col min="9" max="14" width="11.5703125" bestFit="1" customWidth="1"/>
  </cols>
  <sheetData>
    <row r="1" spans="2:14" x14ac:dyDescent="0.25">
      <c r="G1" s="303"/>
      <c r="H1" s="303"/>
      <c r="I1" s="303"/>
      <c r="J1" s="303"/>
    </row>
    <row r="2" spans="2:14" x14ac:dyDescent="0.25">
      <c r="B2">
        <v>0</v>
      </c>
      <c r="C2" s="2">
        <f>-'Analysis (Nothing)'!D5</f>
        <v>0</v>
      </c>
      <c r="D2" s="2">
        <f>'Analysis (A)'!Q44</f>
        <v>-1677.9749999999999</v>
      </c>
      <c r="E2" s="2">
        <f>'Analysis (B)'!R44</f>
        <v>0</v>
      </c>
      <c r="F2" s="2">
        <f>'Analysis (C)'!R44</f>
        <v>0</v>
      </c>
      <c r="G2" s="7">
        <f>C2</f>
        <v>0</v>
      </c>
      <c r="H2" s="7">
        <f>D2</f>
        <v>-1677.9749999999999</v>
      </c>
      <c r="I2" s="7">
        <f>E2</f>
        <v>0</v>
      </c>
      <c r="J2" s="7">
        <f>F2:F2</f>
        <v>0</v>
      </c>
      <c r="K2" s="2">
        <f>NPV(3%,$C$2:C2)</f>
        <v>0</v>
      </c>
      <c r="L2" s="2">
        <f>NPV(3%,$D$2:D2)</f>
        <v>-1629.1019417475727</v>
      </c>
      <c r="M2" s="2">
        <f>NPV(3%,$E$2:E2)</f>
        <v>0</v>
      </c>
      <c r="N2" s="2">
        <f>NPV(3%,$F$2:F2)</f>
        <v>0</v>
      </c>
    </row>
    <row r="3" spans="2:14" x14ac:dyDescent="0.25">
      <c r="B3">
        <v>1</v>
      </c>
      <c r="C3" s="2">
        <f>-'Analysis (Nothing)'!D6</f>
        <v>-1010.9502172257601</v>
      </c>
      <c r="D3" s="2">
        <f>'Analysis (A)'!Q45</f>
        <v>-925.39753168793436</v>
      </c>
      <c r="E3" s="2">
        <f>'Analysis (B)'!R45</f>
        <v>-1346.4683380214651</v>
      </c>
      <c r="F3" s="2">
        <f>'Analysis (C)'!R45</f>
        <v>-1376.258231185308</v>
      </c>
      <c r="G3" s="7">
        <f>G2+C3</f>
        <v>-1010.9502172257601</v>
      </c>
      <c r="H3" s="7">
        <f t="shared" ref="H3:J3" si="0">H2+D3</f>
        <v>-2603.3725316879345</v>
      </c>
      <c r="I3" s="7">
        <f t="shared" si="0"/>
        <v>-1346.4683380214651</v>
      </c>
      <c r="J3" s="7">
        <f t="shared" si="0"/>
        <v>-1376.258231185308</v>
      </c>
      <c r="K3" s="2">
        <f>NPV(3%,$C$2:C3)</f>
        <v>-952.91753909488182</v>
      </c>
      <c r="L3" s="2">
        <f>NPV(3%,$D$2:D3)</f>
        <v>-2501.377869439093</v>
      </c>
      <c r="M3" s="2">
        <f>NPV(3%,$E$2:E3)</f>
        <v>-1269.1755471971583</v>
      </c>
      <c r="N3" s="2">
        <f>NPV(3%,$F$2:F3)</f>
        <v>-1297.2553786269279</v>
      </c>
    </row>
    <row r="4" spans="2:14" x14ac:dyDescent="0.25">
      <c r="B4">
        <v>2</v>
      </c>
      <c r="C4" s="2">
        <f>-'Analysis (Nothing)'!D7</f>
        <v>-1056.8318151002288</v>
      </c>
      <c r="D4" s="2">
        <f>'Analysis (A)'!Q46</f>
        <v>-967.6924751491257</v>
      </c>
      <c r="E4" s="2">
        <f>'Analysis (B)'!R46</f>
        <v>-1359.5899637947014</v>
      </c>
      <c r="F4" s="2">
        <f>'Analysis (C)'!R46</f>
        <v>-1379.2980214595309</v>
      </c>
      <c r="G4" s="7">
        <f t="shared" ref="G4:G41" si="1">G3+C4</f>
        <v>-2067.7820323259889</v>
      </c>
      <c r="H4" s="7">
        <f t="shared" ref="H4:H41" si="2">H3+D4</f>
        <v>-3571.0650068370601</v>
      </c>
      <c r="I4" s="7">
        <f t="shared" ref="I4:I41" si="3">I3+E4</f>
        <v>-2706.0583018161665</v>
      </c>
      <c r="J4" s="7">
        <f t="shared" ref="J4:J41" si="4">J3+F4</f>
        <v>-2755.5562526448389</v>
      </c>
      <c r="K4" s="2">
        <f>NPV(3%,$C$2:C4)</f>
        <v>-1920.0683600229167</v>
      </c>
      <c r="L4" s="2">
        <f>NPV(3%,$D$2:D4)</f>
        <v>-3386.9535668906306</v>
      </c>
      <c r="M4" s="2">
        <f>NPV(3%,$E$2:E4)</f>
        <v>-2513.392962704143</v>
      </c>
      <c r="N4" s="2">
        <f>NPV(3%,$F$2:F4)</f>
        <v>-2559.5084587279325</v>
      </c>
    </row>
    <row r="5" spans="2:14" x14ac:dyDescent="0.25">
      <c r="B5">
        <v>3</v>
      </c>
      <c r="C5" s="2">
        <f>-'Analysis (Nothing)'!D8</f>
        <v>-1104.9284834758062</v>
      </c>
      <c r="D5" s="2">
        <f>'Analysis (A)'!Q47</f>
        <v>-1012.0472521314581</v>
      </c>
      <c r="E5" s="2">
        <f>'Analysis (B)'!R47</f>
        <v>-1373.479164689345</v>
      </c>
      <c r="F5" s="2">
        <f>'Analysis (C)'!R47</f>
        <v>-1382.7084444751838</v>
      </c>
      <c r="G5" s="7">
        <f t="shared" si="1"/>
        <v>-3172.7105158017948</v>
      </c>
      <c r="H5" s="7">
        <f t="shared" si="2"/>
        <v>-4583.1122589685183</v>
      </c>
      <c r="I5" s="7">
        <f t="shared" si="3"/>
        <v>-4079.5374665055115</v>
      </c>
      <c r="J5" s="7">
        <f t="shared" si="4"/>
        <v>-4138.2646971200229</v>
      </c>
      <c r="K5" s="2">
        <f>NPV(3%,$C$2:C5)</f>
        <v>-2901.7830064642944</v>
      </c>
      <c r="L5" s="2">
        <f>NPV(3%,$D$2:D5)</f>
        <v>-4286.144442288095</v>
      </c>
      <c r="M5" s="2">
        <f>NPV(3%,$E$2:E5)</f>
        <v>-3733.7114111126857</v>
      </c>
      <c r="N5" s="2">
        <f>NPV(3%,$F$2:F5)</f>
        <v>-3788.0270026877829</v>
      </c>
    </row>
    <row r="6" spans="2:14" x14ac:dyDescent="0.25">
      <c r="B6">
        <v>4</v>
      </c>
      <c r="C6" s="2">
        <f>-'Analysis (Nothing)'!D9</f>
        <v>-1155.3504433462585</v>
      </c>
      <c r="D6" s="2">
        <f>'Analysis (A)'!Q48</f>
        <v>-1058.5651440859244</v>
      </c>
      <c r="E6" s="2">
        <f>'Analysis (B)'!R48</f>
        <v>-1388.1770341986062</v>
      </c>
      <c r="F6" s="2">
        <f>'Analysis (C)'!R48</f>
        <v>-1386.5092130767623</v>
      </c>
      <c r="G6" s="7">
        <f t="shared" si="1"/>
        <v>-4328.0609591480534</v>
      </c>
      <c r="H6" s="7">
        <f t="shared" si="2"/>
        <v>-5641.6774030544429</v>
      </c>
      <c r="I6" s="7">
        <f t="shared" si="3"/>
        <v>-5467.7145007041181</v>
      </c>
      <c r="J6" s="7">
        <f t="shared" si="4"/>
        <v>-5524.7739101967854</v>
      </c>
      <c r="K6" s="2">
        <f>NPV(3%,$C$2:C6)</f>
        <v>-3898.3984479369155</v>
      </c>
      <c r="L6" s="2">
        <f>NPV(3%,$D$2:D6)</f>
        <v>-5199.2720344195013</v>
      </c>
      <c r="M6" s="2">
        <f>NPV(3%,$E$2:E6)</f>
        <v>-4931.1651150927592</v>
      </c>
      <c r="N6" s="2">
        <f>NPV(3%,$F$2:F6)</f>
        <v>-4984.0420295173726</v>
      </c>
    </row>
    <row r="7" spans="2:14" x14ac:dyDescent="0.25">
      <c r="B7">
        <v>5</v>
      </c>
      <c r="C7" s="2">
        <f>-'Analysis (Nothing)'!D10</f>
        <v>-1208.213476528794</v>
      </c>
      <c r="D7" s="2">
        <f>'Analysis (A)'!Q49</f>
        <v>-1107.3546792378245</v>
      </c>
      <c r="E7" s="2">
        <f>'Analysis (B)'!R49</f>
        <v>-1403.7268561338046</v>
      </c>
      <c r="F7" s="2">
        <f>'Analysis (C)'!R49</f>
        <v>-1390.7210701489016</v>
      </c>
      <c r="G7" s="7">
        <f t="shared" si="1"/>
        <v>-5536.2744356768471</v>
      </c>
      <c r="H7" s="7">
        <f t="shared" si="2"/>
        <v>-6749.0320822922677</v>
      </c>
      <c r="I7" s="7">
        <f t="shared" si="3"/>
        <v>-6871.4413568379223</v>
      </c>
      <c r="J7" s="7">
        <f t="shared" si="4"/>
        <v>-6915.4949803456875</v>
      </c>
      <c r="K7" s="2">
        <f>NPV(3%,$C$2:C7)</f>
        <v>-4910.258213242807</v>
      </c>
      <c r="L7" s="2">
        <f>NPV(3%,$D$2:D7)</f>
        <v>-6126.6641448461569</v>
      </c>
      <c r="M7" s="2">
        <f>NPV(3%,$E$2:E7)</f>
        <v>-6106.7642577888619</v>
      </c>
      <c r="N7" s="2">
        <f>NPV(3%,$F$2:F7)</f>
        <v>-6148.7490312053214</v>
      </c>
    </row>
    <row r="8" spans="2:14" x14ac:dyDescent="0.25">
      <c r="B8">
        <v>6</v>
      </c>
      <c r="C8" s="2">
        <f>-'Analysis (Nothing)'!D11</f>
        <v>-1263.6392079362199</v>
      </c>
      <c r="D8" s="2">
        <f>'Analysis (A)'!Q50</f>
        <v>-1158.5299005848435</v>
      </c>
      <c r="E8" s="2">
        <f>'Analysis (B)'!R50</f>
        <v>-1420.1742211386816</v>
      </c>
      <c r="F8" s="2">
        <f>'Analysis (C)'!R50</f>
        <v>-1395.365842907888</v>
      </c>
      <c r="G8" s="7">
        <f t="shared" si="1"/>
        <v>-6799.9136436130666</v>
      </c>
      <c r="H8" s="7">
        <f t="shared" si="2"/>
        <v>-7907.5619828771114</v>
      </c>
      <c r="I8" s="7">
        <f t="shared" si="3"/>
        <v>-8291.6155779766032</v>
      </c>
      <c r="J8" s="7">
        <f t="shared" si="4"/>
        <v>-8310.8608232535753</v>
      </c>
      <c r="K8" s="2">
        <f>NPV(3%,$C$2:C8)</f>
        <v>-5937.7125266163857</v>
      </c>
      <c r="L8" s="2">
        <f>NPV(3%,$D$2:D8)</f>
        <v>-7068.6549726491521</v>
      </c>
      <c r="M8" s="2">
        <f>NPV(3%,$E$2:E8)</f>
        <v>-7261.4958616253816</v>
      </c>
      <c r="N8" s="2">
        <f>NPV(3%,$F$2:F8)</f>
        <v>-7283.309153292189</v>
      </c>
    </row>
    <row r="9" spans="2:14" x14ac:dyDescent="0.25">
      <c r="B9">
        <v>7</v>
      </c>
      <c r="C9" s="2">
        <f>-'Analysis (Nothing)'!D12</f>
        <v>-1321.7554022157228</v>
      </c>
      <c r="D9" s="2">
        <f>'Analysis (A)'!Q51</f>
        <v>-1212.2106476121189</v>
      </c>
      <c r="E9" s="2">
        <f>'Analysis (B)'!R51</f>
        <v>-1437.5671493792765</v>
      </c>
      <c r="F9" s="2">
        <f>'Analysis (C)'!R51</f>
        <v>-1400.4665000603384</v>
      </c>
      <c r="G9" s="7">
        <f t="shared" si="1"/>
        <v>-8121.6690458287894</v>
      </c>
      <c r="H9" s="7">
        <f t="shared" si="2"/>
        <v>-9119.7726304892312</v>
      </c>
      <c r="I9" s="7">
        <f t="shared" si="3"/>
        <v>-9729.1827273558793</v>
      </c>
      <c r="J9" s="7">
        <f t="shared" si="4"/>
        <v>-9711.3273233139134</v>
      </c>
      <c r="K9" s="2">
        <f>NPV(3%,$C$2:C9)</f>
        <v>-6981.1184466298073</v>
      </c>
      <c r="L9" s="2">
        <f>NPV(3%,$D$2:D9)</f>
        <v>-8025.5852518078345</v>
      </c>
      <c r="M9" s="2">
        <f>NPV(3%,$E$2:E9)</f>
        <v>-8396.3246442917425</v>
      </c>
      <c r="N9" s="2">
        <f>NPV(3%,$F$2:F9)</f>
        <v>-8388.8503407871376</v>
      </c>
    </row>
    <row r="10" spans="2:14" x14ac:dyDescent="0.25">
      <c r="B10">
        <v>8</v>
      </c>
      <c r="C10" s="2">
        <f>-'Analysis (Nothing)'!D13</f>
        <v>-1382.6962754863248</v>
      </c>
      <c r="D10" s="2">
        <f>'Analysis (A)'!Q52</f>
        <v>-1268.5228524267854</v>
      </c>
      <c r="E10" s="2">
        <f>'Analysis (B)'!R52</f>
        <v>-1455.9562197353157</v>
      </c>
      <c r="F10" s="2">
        <f>'Analysis (C)'!R52</f>
        <v>-1406.0472119801834</v>
      </c>
      <c r="G10" s="7">
        <f t="shared" si="1"/>
        <v>-9504.3653213151138</v>
      </c>
      <c r="H10" s="7">
        <f t="shared" si="2"/>
        <v>-10388.295482916017</v>
      </c>
      <c r="I10" s="7">
        <f t="shared" si="3"/>
        <v>-11185.138947091194</v>
      </c>
      <c r="J10" s="7">
        <f t="shared" si="4"/>
        <v>-11117.374535294097</v>
      </c>
      <c r="K10" s="2">
        <f>NPV(3%,$C$2:C10)</f>
        <v>-8040.8400079117391</v>
      </c>
      <c r="L10" s="2">
        <f>NPV(3%,$D$2:D10)</f>
        <v>-8997.8023912679873</v>
      </c>
      <c r="M10" s="2">
        <f>NPV(3%,$E$2:E10)</f>
        <v>-9512.1938526566628</v>
      </c>
      <c r="N10" s="2">
        <f>NPV(3%,$F$2:F10)</f>
        <v>-9466.4684505138557</v>
      </c>
    </row>
    <row r="11" spans="2:14" x14ac:dyDescent="0.25">
      <c r="B11">
        <v>9</v>
      </c>
      <c r="C11" s="2">
        <f>-'Analysis (Nothing)'!D14</f>
        <v>-1446.602822944395</v>
      </c>
      <c r="D11" s="2">
        <f>'Analysis (A)'!Q53</f>
        <v>-1327.5988510504599</v>
      </c>
      <c r="E11" s="2">
        <f>'Analysis (B)'!R53</f>
        <v>-1475.3947058362007</v>
      </c>
      <c r="F11" s="2">
        <f>'Analysis (C)'!R53</f>
        <v>-1412.1334140630138</v>
      </c>
      <c r="G11" s="7">
        <f t="shared" si="1"/>
        <v>-10950.968144259508</v>
      </c>
      <c r="H11" s="7">
        <f t="shared" si="2"/>
        <v>-11715.894333966477</v>
      </c>
      <c r="I11" s="7">
        <f t="shared" si="3"/>
        <v>-12660.533652927395</v>
      </c>
      <c r="J11" s="7">
        <f t="shared" si="4"/>
        <v>-12529.50794935711</v>
      </c>
      <c r="K11" s="2">
        <f>NPV(3%,$C$2:C11)</f>
        <v>-9117.2483657370885</v>
      </c>
      <c r="L11" s="2">
        <f>NPV(3%,$D$2:D11)</f>
        <v>-9985.6606177585181</v>
      </c>
      <c r="M11" s="2">
        <f>NPV(3%,$E$2:E11)</f>
        <v>-10610.026075340224</v>
      </c>
      <c r="N11" s="2">
        <f>NPV(3%,$F$2:F11)</f>
        <v>-10517.228330940481</v>
      </c>
    </row>
    <row r="12" spans="2:14" x14ac:dyDescent="0.25">
      <c r="B12">
        <v>10</v>
      </c>
      <c r="C12" s="2">
        <f>-'Analysis (Nothing)'!D15</f>
        <v>-1513.6231631458083</v>
      </c>
      <c r="D12" s="2">
        <f>'Analysis (A)'!Q54</f>
        <v>-2327.9527106459318</v>
      </c>
      <c r="E12" s="2">
        <f>'Analysis (B)'!R54</f>
        <v>-7826.7387193027116</v>
      </c>
      <c r="F12" s="2">
        <f>'Analysis (C)'!R54</f>
        <v>-12679.551873425202</v>
      </c>
      <c r="G12" s="7">
        <f t="shared" si="1"/>
        <v>-12464.591307405317</v>
      </c>
      <c r="H12" s="7">
        <f t="shared" si="2"/>
        <v>-14043.847044612408</v>
      </c>
      <c r="I12" s="7">
        <f t="shared" si="3"/>
        <v>-20487.272372230109</v>
      </c>
      <c r="J12" s="7">
        <f t="shared" si="4"/>
        <v>-25209.059822782314</v>
      </c>
      <c r="K12" s="2">
        <f>NPV(3%,$C$2:C12)</f>
        <v>-10210.721943546339</v>
      </c>
      <c r="L12" s="2">
        <f>NPV(3%,$D$2:D12)</f>
        <v>-11667.423186844902</v>
      </c>
      <c r="M12" s="2">
        <f>NPV(3%,$E$2:E12)</f>
        <v>-16264.228652543849</v>
      </c>
      <c r="N12" s="2">
        <f>NPV(3%,$F$2:F12)</f>
        <v>-19677.206382040542</v>
      </c>
    </row>
    <row r="13" spans="2:14" x14ac:dyDescent="0.25">
      <c r="B13">
        <v>11</v>
      </c>
      <c r="C13" s="2">
        <f>-'Analysis (Nothing)'!D16</f>
        <v>-1583.9128998145811</v>
      </c>
      <c r="D13" s="2">
        <f>'Analysis (A)'!Q55</f>
        <v>-1450.6055734941024</v>
      </c>
      <c r="E13" s="2">
        <f>'Analysis (B)'!R55</f>
        <v>-1517.6473605745286</v>
      </c>
      <c r="F13" s="2">
        <f>'Analysis (C)'!R55</f>
        <v>-1425.9307591240165</v>
      </c>
      <c r="G13" s="7">
        <f t="shared" si="1"/>
        <v>-14048.504207219898</v>
      </c>
      <c r="H13" s="7">
        <f t="shared" si="2"/>
        <v>-15494.45261810651</v>
      </c>
      <c r="I13" s="7">
        <f t="shared" si="3"/>
        <v>-22004.919732804636</v>
      </c>
      <c r="J13" s="7">
        <f t="shared" si="4"/>
        <v>-26634.990581906331</v>
      </c>
      <c r="K13" s="2">
        <f>NPV(3%,$C$2:C13)</f>
        <v>-11321.646583454396</v>
      </c>
      <c r="L13" s="2">
        <f>NPV(3%,$D$2:D13)</f>
        <v>-12684.848750189452</v>
      </c>
      <c r="M13" s="2">
        <f>NPV(3%,$E$2:E13)</f>
        <v>-17328.675976478793</v>
      </c>
      <c r="N13" s="2">
        <f>NPV(3%,$F$2:F13)</f>
        <v>-20677.325527038422</v>
      </c>
    </row>
    <row r="14" spans="2:14" x14ac:dyDescent="0.25">
      <c r="B14">
        <v>12</v>
      </c>
      <c r="C14" s="2">
        <f>-'Analysis (Nothing)'!D17</f>
        <v>-1657.6355020711253</v>
      </c>
      <c r="D14" s="2">
        <f>'Analysis (A)'!Q56</f>
        <v>-1518.8360185789791</v>
      </c>
      <c r="E14" s="2">
        <f>'Analysis (B)'!R56</f>
        <v>-1540.582877723615</v>
      </c>
      <c r="F14" s="2">
        <f>'Analysis (C)'!R56</f>
        <v>-1433.6997160842027</v>
      </c>
      <c r="G14" s="7">
        <f t="shared" si="1"/>
        <v>-15706.139709291023</v>
      </c>
      <c r="H14" s="7">
        <f t="shared" si="2"/>
        <v>-17013.288636685491</v>
      </c>
      <c r="I14" s="7">
        <f t="shared" si="3"/>
        <v>-23545.502610528252</v>
      </c>
      <c r="J14" s="7">
        <f t="shared" si="4"/>
        <v>-28068.690297990535</v>
      </c>
      <c r="K14" s="2">
        <f>NPV(3%,$C$2:C14)</f>
        <v>-12450.415699809993</v>
      </c>
      <c r="L14" s="2">
        <f>NPV(3%,$D$2:D14)</f>
        <v>-13719.10217227071</v>
      </c>
      <c r="M14" s="2">
        <f>NPV(3%,$E$2:E14)</f>
        <v>-18377.737951435232</v>
      </c>
      <c r="N14" s="2">
        <f>NPV(3%,$F$2:F14)</f>
        <v>-21653.605269853797</v>
      </c>
    </row>
    <row r="15" spans="2:14" x14ac:dyDescent="0.25">
      <c r="B15">
        <v>13</v>
      </c>
      <c r="C15" s="2">
        <f>-'Analysis (Nothing)'!D18</f>
        <v>-1734.962704018805</v>
      </c>
      <c r="D15" s="2">
        <f>'Analysis (A)'!Q57</f>
        <v>-1590.4304416824743</v>
      </c>
      <c r="E15" s="2">
        <f>'Analysis (B)'!R57</f>
        <v>-1564.8108336745624</v>
      </c>
      <c r="F15" s="2">
        <f>'Analysis (C)'!R57</f>
        <v>-1442.0899429262065</v>
      </c>
      <c r="G15" s="7">
        <f t="shared" si="1"/>
        <v>-17441.102413309829</v>
      </c>
      <c r="H15" s="7">
        <f t="shared" si="2"/>
        <v>-18603.719078367965</v>
      </c>
      <c r="I15" s="7">
        <f t="shared" si="3"/>
        <v>-25110.313444202813</v>
      </c>
      <c r="J15" s="7">
        <f t="shared" si="4"/>
        <v>-29510.780240916742</v>
      </c>
      <c r="K15" s="2">
        <f>NPV(3%,$C$2:C15)</f>
        <v>-13597.430435868044</v>
      </c>
      <c r="L15" s="2">
        <f>NPV(3%,$D$2:D15)</f>
        <v>-14770.564056182966</v>
      </c>
      <c r="M15" s="2">
        <f>NPV(3%,$E$2:E15)</f>
        <v>-19412.262256315364</v>
      </c>
      <c r="N15" s="2">
        <f>NPV(3%,$F$2:F15)</f>
        <v>-22606.996608714267</v>
      </c>
    </row>
    <row r="16" spans="2:14" x14ac:dyDescent="0.25">
      <c r="B16">
        <v>14</v>
      </c>
      <c r="C16" s="2">
        <f>-'Analysis (Nothing)'!D19</f>
        <v>-1816.0749246753412</v>
      </c>
      <c r="D16" s="2">
        <f>'Analysis (A)'!Q58</f>
        <v>-1665.5584549369335</v>
      </c>
      <c r="E16" s="2">
        <f>'Analysis (B)'!R58</f>
        <v>-1590.4002822750747</v>
      </c>
      <c r="F16" s="2">
        <f>'Analysis (C)'!R58</f>
        <v>-1451.1342739015249</v>
      </c>
      <c r="G16" s="7">
        <f t="shared" si="1"/>
        <v>-19257.177337985169</v>
      </c>
      <c r="H16" s="7">
        <f t="shared" si="2"/>
        <v>-20269.277533304899</v>
      </c>
      <c r="I16" s="7">
        <f t="shared" si="3"/>
        <v>-26700.713726477887</v>
      </c>
      <c r="J16" s="7">
        <f t="shared" si="4"/>
        <v>-30961.914514818265</v>
      </c>
      <c r="K16" s="2">
        <f>NPV(3%,$C$2:C16)</f>
        <v>-14763.099823638506</v>
      </c>
      <c r="L16" s="2">
        <f>NPV(3%,$D$2:D16)</f>
        <v>-15839.622649571853</v>
      </c>
      <c r="M16" s="2">
        <f>NPV(3%,$E$2:E16)</f>
        <v>-20433.079678636732</v>
      </c>
      <c r="N16" s="2">
        <f>NPV(3%,$F$2:F16)</f>
        <v>-23538.424479694822</v>
      </c>
    </row>
    <row r="17" spans="2:14" x14ac:dyDescent="0.25">
      <c r="B17">
        <v>15</v>
      </c>
      <c r="C17" s="2">
        <f>-'Analysis (Nothing)'!D20</f>
        <v>-1901.161709285896</v>
      </c>
      <c r="D17" s="2">
        <f>'Analysis (A)'!Q59</f>
        <v>-1744.3983068318489</v>
      </c>
      <c r="E17" s="2">
        <f>'Analysis (B)'!R59</f>
        <v>-1617.4239536830578</v>
      </c>
      <c r="F17" s="2">
        <f>'Analysis (C)'!R59</f>
        <v>-1460.8672651513909</v>
      </c>
      <c r="G17" s="7">
        <f t="shared" si="1"/>
        <v>-21158.339047271067</v>
      </c>
      <c r="H17" s="7">
        <f t="shared" si="2"/>
        <v>-22013.675840136748</v>
      </c>
      <c r="I17" s="7">
        <f t="shared" si="3"/>
        <v>-28318.137680160944</v>
      </c>
      <c r="J17" s="7">
        <f t="shared" si="4"/>
        <v>-32422.781779969657</v>
      </c>
      <c r="K17" s="2">
        <f>NPV(3%,$C$2:C17)</f>
        <v>-15947.840946976678</v>
      </c>
      <c r="L17" s="2">
        <f>NPV(3%,$D$2:D17)</f>
        <v>-16926.674003221007</v>
      </c>
      <c r="M17" s="2">
        <f>NPV(3%,$E$2:E17)</f>
        <v>-21441.004813274696</v>
      </c>
      <c r="N17" s="2">
        <f>NPV(3%,$F$2:F17)</f>
        <v>-24448.788661926075</v>
      </c>
    </row>
    <row r="18" spans="2:14" x14ac:dyDescent="0.25">
      <c r="B18">
        <v>16</v>
      </c>
      <c r="C18" s="2">
        <f>-'Analysis (Nothing)'!D21</f>
        <v>-1990.4221931075349</v>
      </c>
      <c r="D18" s="2">
        <f>'Analysis (A)'!Q60</f>
        <v>-1827.1373237222481</v>
      </c>
      <c r="E18" s="2">
        <f>'Analysis (B)'!R60</f>
        <v>-285.60534851874405</v>
      </c>
      <c r="F18" s="2">
        <f>'Analysis (C)'!R60</f>
        <v>852.45069161859067</v>
      </c>
      <c r="G18" s="7">
        <f t="shared" si="1"/>
        <v>-23148.761240378601</v>
      </c>
      <c r="H18" s="7">
        <f t="shared" si="2"/>
        <v>-23840.813163858995</v>
      </c>
      <c r="I18" s="7">
        <f t="shared" si="3"/>
        <v>-28603.743028679688</v>
      </c>
      <c r="J18" s="7">
        <f t="shared" si="4"/>
        <v>-31570.331088351068</v>
      </c>
      <c r="K18" s="2">
        <f>NPV(3%,$C$2:C18)</f>
        <v>-17152.079107981153</v>
      </c>
      <c r="L18" s="2">
        <f>NPV(3%,$D$2:D18)</f>
        <v>-18032.122132889766</v>
      </c>
      <c r="M18" s="2">
        <f>NPV(3%,$E$2:E18)</f>
        <v>-21613.800746149765</v>
      </c>
      <c r="N18" s="2">
        <f>NPV(3%,$F$2:F18)</f>
        <v>-23933.041974225078</v>
      </c>
    </row>
    <row r="19" spans="2:14" x14ac:dyDescent="0.25">
      <c r="B19">
        <v>17</v>
      </c>
      <c r="C19" s="2">
        <f>-'Analysis (Nothing)'!D22</f>
        <v>-2084.0655888103352</v>
      </c>
      <c r="D19" s="2">
        <f>'Analysis (A)'!Q61</f>
        <v>-1913.9723739398855</v>
      </c>
      <c r="E19" s="2">
        <f>'Analysis (B)'!R61</f>
        <v>-315.73134755375162</v>
      </c>
      <c r="F19" s="2">
        <f>'Analysis (C)'!R61</f>
        <v>841.22936499848515</v>
      </c>
      <c r="G19" s="7">
        <f t="shared" si="1"/>
        <v>-25232.826829188936</v>
      </c>
      <c r="H19" s="7">
        <f t="shared" si="2"/>
        <v>-25754.785537798882</v>
      </c>
      <c r="I19" s="7">
        <f t="shared" si="3"/>
        <v>-28919.47437623344</v>
      </c>
      <c r="J19" s="7">
        <f t="shared" si="4"/>
        <v>-30729.101723352582</v>
      </c>
      <c r="K19" s="2">
        <f>NPV(3%,$C$2:C19)</f>
        <v>-18376.247996766993</v>
      </c>
      <c r="L19" s="2">
        <f>NPV(3%,$D$2:D19)</f>
        <v>-19156.379184468591</v>
      </c>
      <c r="M19" s="2">
        <f>NPV(3%,$E$2:E19)</f>
        <v>-21799.259637158262</v>
      </c>
      <c r="N19" s="2">
        <f>NPV(3%,$F$2:F19)</f>
        <v>-23438.908381456502</v>
      </c>
    </row>
    <row r="20" spans="2:14" x14ac:dyDescent="0.25">
      <c r="B20">
        <v>18</v>
      </c>
      <c r="C20" s="2">
        <f>-'Analysis (Nothing)'!D23</f>
        <v>-2182.3116986987729</v>
      </c>
      <c r="D20" s="2">
        <f>'Analysis (A)'!Q62</f>
        <v>-2005.1103556647395</v>
      </c>
      <c r="E20" s="2">
        <f>'Analysis (B)'!R62</f>
        <v>-347.53382184296919</v>
      </c>
      <c r="F20" s="2">
        <f>'Analysis (C)'!R62</f>
        <v>829.20444604127943</v>
      </c>
      <c r="G20" s="7">
        <f t="shared" si="1"/>
        <v>-27415.13852788771</v>
      </c>
      <c r="H20" s="7">
        <f t="shared" si="2"/>
        <v>-27759.895893463621</v>
      </c>
      <c r="I20" s="7">
        <f t="shared" si="3"/>
        <v>-29267.008198076408</v>
      </c>
      <c r="J20" s="7">
        <f t="shared" si="4"/>
        <v>-29899.897277311302</v>
      </c>
      <c r="K20" s="2">
        <f>NPV(3%,$C$2:C20)</f>
        <v>-19620.789864683102</v>
      </c>
      <c r="L20" s="2">
        <f>NPV(3%,$D$2:D20)</f>
        <v>-20299.86560252008</v>
      </c>
      <c r="M20" s="2">
        <f>NPV(3%,$E$2:E20)</f>
        <v>-21997.453319599852</v>
      </c>
      <c r="N20" s="2">
        <f>NPV(3%,$F$2:F20)</f>
        <v>-22966.024672508836</v>
      </c>
    </row>
    <row r="21" spans="2:14" x14ac:dyDescent="0.25">
      <c r="B21">
        <v>19</v>
      </c>
      <c r="C21" s="2">
        <f>-'Analysis (Nothing)'!D24</f>
        <v>-2285.3914530184215</v>
      </c>
      <c r="D21" s="2">
        <f>'Analysis (A)'!Q63</f>
        <v>-2100.7687097735948</v>
      </c>
      <c r="E21" s="2">
        <f>'Analysis (B)'!R63</f>
        <v>-381.1022647222552</v>
      </c>
      <c r="F21" s="2">
        <f>'Analysis (C)'!R63</f>
        <v>816.33353377254593</v>
      </c>
      <c r="G21" s="7">
        <f t="shared" si="1"/>
        <v>-29700.529980906133</v>
      </c>
      <c r="H21" s="7">
        <f t="shared" si="2"/>
        <v>-29860.664603237215</v>
      </c>
      <c r="I21" s="7">
        <f t="shared" si="3"/>
        <v>-29648.110462798664</v>
      </c>
      <c r="J21" s="7">
        <f t="shared" si="4"/>
        <v>-29083.563743538754</v>
      </c>
      <c r="K21" s="2">
        <f>NPV(3%,$C$2:C21)</f>
        <v>-20886.155701044077</v>
      </c>
      <c r="L21" s="2">
        <f>NPV(3%,$D$2:D21)</f>
        <v>-21463.01030227503</v>
      </c>
      <c r="M21" s="2">
        <f>NPV(3%,$E$2:E21)</f>
        <v>-22208.460403442066</v>
      </c>
      <c r="N21" s="2">
        <f>NPV(3%,$F$2:F21)</f>
        <v>-22514.040587529729</v>
      </c>
    </row>
    <row r="22" spans="2:14" x14ac:dyDescent="0.25">
      <c r="B22">
        <v>20</v>
      </c>
      <c r="C22" s="2">
        <f>-'Analysis (Nothing)'!D25</f>
        <v>-2393.5474756774643</v>
      </c>
      <c r="D22" s="2">
        <f>'Analysis (A)'!Q64</f>
        <v>-2201.1759589447938</v>
      </c>
      <c r="E22" s="2">
        <f>'Analysis (B)'!R64</f>
        <v>-6747.3309306364017</v>
      </c>
      <c r="F22" s="2">
        <f>'Analysis (C)'!R64</f>
        <v>-10458.227999212091</v>
      </c>
      <c r="G22" s="7">
        <f t="shared" si="1"/>
        <v>-32094.077456583596</v>
      </c>
      <c r="H22" s="7">
        <f t="shared" si="2"/>
        <v>-32061.840562182009</v>
      </c>
      <c r="I22" s="7">
        <f t="shared" si="3"/>
        <v>-36395.441393435067</v>
      </c>
      <c r="J22" s="7">
        <f t="shared" si="4"/>
        <v>-39541.791742750844</v>
      </c>
      <c r="K22" s="2">
        <f>NPV(3%,$C$2:C22)</f>
        <v>-22172.805413448466</v>
      </c>
      <c r="L22" s="2">
        <f>NPV(3%,$D$2:D22)</f>
        <v>-22646.250845154238</v>
      </c>
      <c r="M22" s="2">
        <f>NPV(3%,$E$2:E22)</f>
        <v>-25835.483259524488</v>
      </c>
      <c r="N22" s="2">
        <f>NPV(3%,$F$2:F22)</f>
        <v>-28135.853475798074</v>
      </c>
    </row>
    <row r="23" spans="2:14" x14ac:dyDescent="0.25">
      <c r="B23">
        <v>21</v>
      </c>
      <c r="C23" s="2">
        <f>-'Analysis (Nothing)'!D26</f>
        <v>-2507.034678780331</v>
      </c>
      <c r="D23" s="2">
        <f>'Analysis (A)'!Q65</f>
        <v>-2306.5722743637239</v>
      </c>
      <c r="E23" s="2">
        <f>'Analysis (B)'!R65</f>
        <v>-453.91908768655986</v>
      </c>
      <c r="F23" s="2">
        <f>'Analysis (C)'!R65</f>
        <v>787.87287583458715</v>
      </c>
      <c r="G23" s="7">
        <f t="shared" si="1"/>
        <v>-34601.112135363925</v>
      </c>
      <c r="H23" s="7">
        <f t="shared" si="2"/>
        <v>-34368.412836545736</v>
      </c>
      <c r="I23" s="7">
        <f t="shared" si="3"/>
        <v>-36849.360481121628</v>
      </c>
      <c r="J23" s="7">
        <f t="shared" si="4"/>
        <v>-38753.918866916254</v>
      </c>
      <c r="K23" s="2">
        <f>NPV(3%,$C$2:C23)</f>
        <v>-23481.208011756502</v>
      </c>
      <c r="L23" s="2">
        <f>NPV(3%,$D$2:D23)</f>
        <v>-23850.033617888352</v>
      </c>
      <c r="M23" s="2">
        <f>NPV(3%,$E$2:E23)</f>
        <v>-26072.380227395566</v>
      </c>
      <c r="N23" s="2">
        <f>NPV(3%,$F$2:F23)</f>
        <v>-27724.668530251205</v>
      </c>
    </row>
    <row r="24" spans="2:14" x14ac:dyDescent="0.25">
      <c r="B24">
        <v>22</v>
      </c>
      <c r="C24" s="2">
        <f>-'Analysis (Nothing)'!D27</f>
        <v>-2626.1208874419963</v>
      </c>
      <c r="D24" s="2">
        <f>'Analysis (A)'!Q66</f>
        <v>-2417.2100714424637</v>
      </c>
      <c r="E24" s="2">
        <f>'Analysis (B)'!R66</f>
        <v>-493.37128352185141</v>
      </c>
      <c r="F24" s="2">
        <f>'Analysis (C)'!R66</f>
        <v>772.18672020275244</v>
      </c>
      <c r="G24" s="7">
        <f t="shared" si="1"/>
        <v>-37227.233022805922</v>
      </c>
      <c r="H24" s="7">
        <f t="shared" si="2"/>
        <v>-36785.622907988203</v>
      </c>
      <c r="I24" s="7">
        <f t="shared" si="3"/>
        <v>-37342.731764643482</v>
      </c>
      <c r="J24" s="7">
        <f t="shared" si="4"/>
        <v>-37981.732146713504</v>
      </c>
      <c r="K24" s="2">
        <f>NPV(3%,$C$2:C24)</f>
        <v>-24811.841795802226</v>
      </c>
      <c r="L24" s="2">
        <f>NPV(3%,$D$2:D24)</f>
        <v>-25074.814015309399</v>
      </c>
      <c r="M24" s="2">
        <f>NPV(3%,$E$2:E24)</f>
        <v>-26322.367385668258</v>
      </c>
      <c r="N24" s="2">
        <f>NPV(3%,$F$2:F24)</f>
        <v>-27333.407890877479</v>
      </c>
    </row>
    <row r="25" spans="2:14" x14ac:dyDescent="0.25">
      <c r="B25">
        <v>23</v>
      </c>
      <c r="C25" s="2">
        <f>-'Analysis (Nothing)'!D28</f>
        <v>-2751.0874964263717</v>
      </c>
      <c r="D25" s="2">
        <f>'Analysis (A)'!Q67</f>
        <v>-2533.3546360393757</v>
      </c>
      <c r="E25" s="2">
        <f>'Analysis (B)'!R67</f>
        <v>-534.99762527741905</v>
      </c>
      <c r="F25" s="2">
        <f>'Analysis (C)'!R67</f>
        <v>755.46149760116418</v>
      </c>
      <c r="G25" s="7">
        <f t="shared" si="1"/>
        <v>-39978.320519232293</v>
      </c>
      <c r="H25" s="7">
        <f t="shared" si="2"/>
        <v>-39318.977544027577</v>
      </c>
      <c r="I25" s="7">
        <f t="shared" si="3"/>
        <v>-37877.729389920903</v>
      </c>
      <c r="J25" s="7">
        <f t="shared" si="4"/>
        <v>-37226.270649112339</v>
      </c>
      <c r="K25" s="2">
        <f>NPV(3%,$C$2:C25)</f>
        <v>-26165.194546916155</v>
      </c>
      <c r="L25" s="2">
        <f>NPV(3%,$D$2:D25)</f>
        <v>-26321.056626889265</v>
      </c>
      <c r="M25" s="2">
        <f>NPV(3%,$E$2:E25)</f>
        <v>-26585.550766403743</v>
      </c>
      <c r="N25" s="2">
        <f>NPV(3%,$F$2:F25)</f>
        <v>-26961.770893701902</v>
      </c>
    </row>
    <row r="26" spans="2:14" x14ac:dyDescent="0.25">
      <c r="B26">
        <v>24</v>
      </c>
      <c r="C26" s="2">
        <f>-'Analysis (Nothing)'!D29</f>
        <v>-2882.2301602308967</v>
      </c>
      <c r="D26" s="2">
        <f>'Analysis (A)'!Q68</f>
        <v>-2655.2847827405039</v>
      </c>
      <c r="E26" s="2">
        <f>'Analysis (B)'!R68</f>
        <v>-578.91407429798278</v>
      </c>
      <c r="F26" s="2">
        <f>'Analysis (C)'!R68</f>
        <v>737.64243717458351</v>
      </c>
      <c r="G26" s="7">
        <f t="shared" si="1"/>
        <v>-42860.550679463187</v>
      </c>
      <c r="H26" s="7">
        <f t="shared" si="2"/>
        <v>-41974.262326768083</v>
      </c>
      <c r="I26" s="7">
        <f t="shared" si="3"/>
        <v>-38456.643464218883</v>
      </c>
      <c r="J26" s="7">
        <f t="shared" si="4"/>
        <v>-36488.628211937757</v>
      </c>
      <c r="K26" s="2">
        <f>NPV(3%,$C$2:C26)</f>
        <v>-27541.763723336353</v>
      </c>
      <c r="L26" s="2">
        <f>NPV(3%,$D$2:D26)</f>
        <v>-27589.235427101863</v>
      </c>
      <c r="M26" s="2">
        <f>NPV(3%,$E$2:E26)</f>
        <v>-26862.043352412416</v>
      </c>
      <c r="N26" s="2">
        <f>NPV(3%,$F$2:F26)</f>
        <v>-26609.468757583578</v>
      </c>
    </row>
    <row r="27" spans="2:14" x14ac:dyDescent="0.25">
      <c r="B27">
        <v>25</v>
      </c>
      <c r="C27" s="2">
        <f>-'Analysis (Nothing)'!D30</f>
        <v>-3019.8595183221614</v>
      </c>
      <c r="D27" s="2">
        <f>'Analysis (A)'!Q69</f>
        <v>-2783.2935468446053</v>
      </c>
      <c r="E27" s="2">
        <f>'Analysis (B)'!R69</f>
        <v>-625.24275642471184</v>
      </c>
      <c r="F27" s="2">
        <f>'Analysis (C)'!R69</f>
        <v>718.67188930244731</v>
      </c>
      <c r="G27" s="7">
        <f t="shared" si="1"/>
        <v>-45880.41019778535</v>
      </c>
      <c r="H27" s="7">
        <f t="shared" si="2"/>
        <v>-44757.555873612691</v>
      </c>
      <c r="I27" s="7">
        <f t="shared" si="3"/>
        <v>-39081.886220643595</v>
      </c>
      <c r="J27" s="7">
        <f t="shared" si="4"/>
        <v>-35769.956322635313</v>
      </c>
      <c r="K27" s="2">
        <f>NPV(3%,$C$2:C27)</f>
        <v>-28942.056659587321</v>
      </c>
      <c r="L27" s="2">
        <f>NPV(3%,$D$2:D27)</f>
        <v>-28879.833969687319</v>
      </c>
      <c r="M27" s="2">
        <f>NPV(3%,$E$2:E27)</f>
        <v>-27151.965121935675</v>
      </c>
      <c r="N27" s="2">
        <f>NPV(3%,$F$2:F27)</f>
        <v>-26276.224391755764</v>
      </c>
    </row>
    <row r="28" spans="2:14" x14ac:dyDescent="0.25">
      <c r="B28">
        <v>26</v>
      </c>
      <c r="C28" s="2">
        <f>-'Analysis (Nothing)'!D31</f>
        <v>-3164.3019573143101</v>
      </c>
      <c r="D28" s="2">
        <f>'Analysis (A)'!Q70</f>
        <v>-2917.6889117777046</v>
      </c>
      <c r="E28" s="2">
        <f>'Analysis (B)'!R70</f>
        <v>-674.11228866398346</v>
      </c>
      <c r="F28" s="2">
        <f>'Analysis (C)'!R70</f>
        <v>698.48917379942759</v>
      </c>
      <c r="G28" s="7">
        <f t="shared" si="1"/>
        <v>-49044.71215509966</v>
      </c>
      <c r="H28" s="7">
        <f t="shared" si="2"/>
        <v>-47675.244785390394</v>
      </c>
      <c r="I28" s="7">
        <f t="shared" si="3"/>
        <v>-39755.998509307581</v>
      </c>
      <c r="J28" s="7">
        <f t="shared" si="4"/>
        <v>-35071.467148835887</v>
      </c>
      <c r="K28" s="2">
        <f>NPV(3%,$C$2:C28)</f>
        <v>-30366.590769907692</v>
      </c>
      <c r="L28" s="2">
        <f>NPV(3%,$D$2:D28)</f>
        <v>-30193.345585898103</v>
      </c>
      <c r="M28" s="2">
        <f>NPV(3%,$E$2:E28)</f>
        <v>-27455.443096649258</v>
      </c>
      <c r="N28" s="2">
        <f>NPV(3%,$F$2:F28)</f>
        <v>-25961.772210140549</v>
      </c>
    </row>
    <row r="29" spans="2:14" x14ac:dyDescent="0.25">
      <c r="B29">
        <v>27</v>
      </c>
      <c r="C29" s="2">
        <f>-'Analysis (Nothing)'!D32</f>
        <v>-3315.9004119733277</v>
      </c>
      <c r="D29" s="2">
        <f>'Analysis (A)'!Q71</f>
        <v>-3058.7945737514201</v>
      </c>
      <c r="E29" s="2">
        <f>'Analysis (B)'!R71</f>
        <v>-725.65812309950638</v>
      </c>
      <c r="F29" s="2">
        <f>'Analysis (C)'!R71</f>
        <v>677.03042011861908</v>
      </c>
      <c r="G29" s="7">
        <f t="shared" si="1"/>
        <v>-52360.612567072989</v>
      </c>
      <c r="H29" s="7">
        <f t="shared" si="2"/>
        <v>-50734.039359141811</v>
      </c>
      <c r="I29" s="7">
        <f t="shared" si="3"/>
        <v>-40481.656632407088</v>
      </c>
      <c r="J29" s="7">
        <f t="shared" si="4"/>
        <v>-34394.436728717264</v>
      </c>
      <c r="K29" s="2">
        <f>NPV(3%,$C$2:C29)</f>
        <v>-31815.893755809469</v>
      </c>
      <c r="L29" s="2">
        <f>NPV(3%,$D$2:D29)</f>
        <v>-31530.273586808689</v>
      </c>
      <c r="M29" s="2">
        <f>NPV(3%,$E$2:E29)</f>
        <v>-27772.611393005333</v>
      </c>
      <c r="N29" s="2">
        <f>NPV(3%,$F$2:F29)</f>
        <v>-25665.857952317492</v>
      </c>
    </row>
    <row r="30" spans="2:14" x14ac:dyDescent="0.25">
      <c r="B30">
        <v>28</v>
      </c>
      <c r="C30" s="2">
        <f>-'Analysis (Nothing)'!D33</f>
        <v>-3475.0152070263471</v>
      </c>
      <c r="D30" s="2">
        <f>'Analysis (A)'!Q72</f>
        <v>-3206.9507455722019</v>
      </c>
      <c r="E30" s="2">
        <f>'Analysis (B)'!R72</f>
        <v>-780.02290895440569</v>
      </c>
      <c r="F30" s="2">
        <f>'Analysis (C)'!R72</f>
        <v>654.22839913717985</v>
      </c>
      <c r="G30" s="7">
        <f t="shared" si="1"/>
        <v>-55835.627774099339</v>
      </c>
      <c r="H30" s="7">
        <f t="shared" si="2"/>
        <v>-53940.990104714016</v>
      </c>
      <c r="I30" s="7">
        <f t="shared" si="3"/>
        <v>-41261.679541361496</v>
      </c>
      <c r="J30" s="7">
        <f t="shared" si="4"/>
        <v>-33740.208329580084</v>
      </c>
      <c r="K30" s="2">
        <f>NPV(3%,$C$2:C30)</f>
        <v>-33290.503817853089</v>
      </c>
      <c r="L30" s="2">
        <f>NPV(3%,$D$2:D30)</f>
        <v>-32891.131469771964</v>
      </c>
      <c r="M30" s="2">
        <f>NPV(3%,$E$2:E30)</f>
        <v>-28103.611276931879</v>
      </c>
      <c r="N30" s="2">
        <f>NPV(3%,$F$2:F30)</f>
        <v>-25388.238511029376</v>
      </c>
    </row>
    <row r="31" spans="2:14" x14ac:dyDescent="0.25">
      <c r="B31">
        <v>29</v>
      </c>
      <c r="C31" s="2">
        <f>-'Analysis (Nothing)'!D34</f>
        <v>-3642.0249418560024</v>
      </c>
      <c r="D31" s="2">
        <f>'Analysis (A)'!Q73</f>
        <v>-3362.5150016062494</v>
      </c>
      <c r="E31" s="2">
        <f>'Analysis (B)'!R73</f>
        <v>-837.35687375737461</v>
      </c>
      <c r="F31" s="2">
        <f>'Analysis (C)'!R73</f>
        <v>630.01234608226059</v>
      </c>
      <c r="G31" s="7">
        <f t="shared" si="1"/>
        <v>-59477.652715955344</v>
      </c>
      <c r="H31" s="7">
        <f t="shared" si="2"/>
        <v>-57303.505106320263</v>
      </c>
      <c r="I31" s="7">
        <f t="shared" si="3"/>
        <v>-42099.03641511887</v>
      </c>
      <c r="J31" s="7">
        <f t="shared" si="4"/>
        <v>-33110.195983497826</v>
      </c>
      <c r="K31" s="2">
        <f>NPV(3%,$C$2:C31)</f>
        <v>-34790.969871724454</v>
      </c>
      <c r="L31" s="2">
        <f>NPV(3%,$D$2:D31)</f>
        <v>-34276.443129107349</v>
      </c>
      <c r="M31" s="2">
        <f>NPV(3%,$E$2:E31)</f>
        <v>-28448.591221909548</v>
      </c>
      <c r="N31" s="2">
        <f>NPV(3%,$F$2:F31)</f>
        <v>-25128.681766111931</v>
      </c>
    </row>
    <row r="32" spans="2:14" x14ac:dyDescent="0.25">
      <c r="B32">
        <v>30</v>
      </c>
      <c r="C32" s="2">
        <f>-'Analysis (Nothing)'!D35</f>
        <v>-3817.3274202659391</v>
      </c>
      <c r="D32" s="2">
        <f>'Analysis (A)'!Q74</f>
        <v>-4468.2381660075353</v>
      </c>
      <c r="E32" s="2">
        <f>'Analysis (B)'!R74</f>
        <v>-7228.618224616961</v>
      </c>
      <c r="F32" s="2">
        <f>'Analysis (C)'!R74</f>
        <v>-10656.492225868113</v>
      </c>
      <c r="G32" s="7">
        <f t="shared" si="1"/>
        <v>-63294.980136221282</v>
      </c>
      <c r="H32" s="7">
        <f t="shared" si="2"/>
        <v>-61771.743272327796</v>
      </c>
      <c r="I32" s="7">
        <f t="shared" si="3"/>
        <v>-49327.654639735832</v>
      </c>
      <c r="J32" s="7">
        <f t="shared" si="4"/>
        <v>-43766.688209365937</v>
      </c>
      <c r="K32" s="2">
        <f>NPV(3%,$C$2:C32)</f>
        <v>-36317.851768701716</v>
      </c>
      <c r="L32" s="2">
        <f>NPV(3%,$D$2:D32)</f>
        <v>-36063.680957028453</v>
      </c>
      <c r="M32" s="2">
        <f>NPV(3%,$E$2:E32)</f>
        <v>-31339.945589033399</v>
      </c>
      <c r="N32" s="2">
        <f>NPV(3%,$F$2:F32)</f>
        <v>-29391.141668968099</v>
      </c>
    </row>
    <row r="33" spans="2:14" x14ac:dyDescent="0.25">
      <c r="B33">
        <v>31</v>
      </c>
      <c r="C33" s="2">
        <f>-'Analysis (Nothing)'!D36</f>
        <v>-4001.3406276150395</v>
      </c>
      <c r="D33" s="2">
        <f>'Analysis (A)'!Q75</f>
        <v>-3701.3902464242224</v>
      </c>
      <c r="E33" s="2">
        <f>'Analysis (B)'!R75</f>
        <v>-961.57357066064435</v>
      </c>
      <c r="F33" s="2">
        <f>'Analysis (C)'!R75</f>
        <v>577.03627820109966</v>
      </c>
      <c r="G33" s="7">
        <f t="shared" si="1"/>
        <v>-67296.320763836324</v>
      </c>
      <c r="H33" s="7">
        <f t="shared" si="2"/>
        <v>-65473.133518752016</v>
      </c>
      <c r="I33" s="7">
        <f t="shared" si="3"/>
        <v>-50289.228210396475</v>
      </c>
      <c r="J33" s="7">
        <f t="shared" si="4"/>
        <v>-43189.651931164837</v>
      </c>
      <c r="K33" s="2">
        <f>NPV(3%,$C$2:C33)</f>
        <v>-37871.720520601484</v>
      </c>
      <c r="L33" s="2">
        <f>NPV(3%,$D$2:D33)</f>
        <v>-37501.067867508325</v>
      </c>
      <c r="M33" s="2">
        <f>NPV(3%,$E$2:E33)</f>
        <v>-31713.360217568246</v>
      </c>
      <c r="N33" s="2">
        <f>NPV(3%,$F$2:F33)</f>
        <v>-29167.057112102051</v>
      </c>
    </row>
    <row r="34" spans="2:14" x14ac:dyDescent="0.25">
      <c r="B34">
        <v>32</v>
      </c>
      <c r="C34" s="2">
        <f>-'Analysis (Nothing)'!D37</f>
        <v>-4194.5037577350849</v>
      </c>
      <c r="D34" s="2">
        <f>'Analysis (A)'!Q76</f>
        <v>-3881.5114155121942</v>
      </c>
      <c r="E34" s="2">
        <f>'Analysis (B)'!R76</f>
        <v>-1028.7983677506779</v>
      </c>
      <c r="F34" s="2">
        <f>'Analysis (C)'!R76</f>
        <v>548.11532839806057</v>
      </c>
      <c r="G34" s="7">
        <f t="shared" si="1"/>
        <v>-71490.824521571412</v>
      </c>
      <c r="H34" s="7">
        <f t="shared" si="2"/>
        <v>-69354.644934264215</v>
      </c>
      <c r="I34" s="7">
        <f t="shared" si="3"/>
        <v>-51318.026578147153</v>
      </c>
      <c r="J34" s="7">
        <f t="shared" si="4"/>
        <v>-42641.536602766777</v>
      </c>
      <c r="K34" s="2">
        <f>NPV(3%,$C$2:C34)</f>
        <v>-39453.158529295848</v>
      </c>
      <c r="L34" s="2">
        <f>NPV(3%,$D$2:D34)</f>
        <v>-38964.499548157626</v>
      </c>
      <c r="M34" s="2">
        <f>NPV(3%,$E$2:E34)</f>
        <v>-32101.244204808296</v>
      </c>
      <c r="N34" s="2">
        <f>NPV(3%,$F$2:F34)</f>
        <v>-28960.403247058253</v>
      </c>
    </row>
    <row r="35" spans="2:14" x14ac:dyDescent="0.25">
      <c r="B35">
        <v>33</v>
      </c>
      <c r="C35" s="2">
        <f>-'Analysis (Nothing)'!D38</f>
        <v>-4397.2782921697099</v>
      </c>
      <c r="D35" s="2">
        <f>'Analysis (A)'!Q77</f>
        <v>-4070.6630427036348</v>
      </c>
      <c r="E35" s="2">
        <f>'Analysis (B)'!R77</f>
        <v>-1099.6773866468961</v>
      </c>
      <c r="F35" s="2">
        <f>'Analysis (C)'!R77</f>
        <v>517.45805260777433</v>
      </c>
      <c r="G35" s="7">
        <f t="shared" si="1"/>
        <v>-75888.102813741119</v>
      </c>
      <c r="H35" s="7">
        <f t="shared" si="2"/>
        <v>-73425.307976967844</v>
      </c>
      <c r="I35" s="7">
        <f t="shared" si="3"/>
        <v>-52417.703964794047</v>
      </c>
      <c r="J35" s="7">
        <f t="shared" si="4"/>
        <v>-42124.078550159</v>
      </c>
      <c r="K35" s="2">
        <f>NPV(3%,$C$2:C35)</f>
        <v>-41062.759820893589</v>
      </c>
      <c r="L35" s="2">
        <f>NPV(3%,$D$2:D35)</f>
        <v>-40454.544993510142</v>
      </c>
      <c r="M35" s="2">
        <f>NPV(3%,$E$2:E35)</f>
        <v>-32503.775503552704</v>
      </c>
      <c r="N35" s="2">
        <f>NPV(3%,$F$2:F35)</f>
        <v>-28770.990366070419</v>
      </c>
    </row>
    <row r="36" spans="2:14" x14ac:dyDescent="0.25">
      <c r="B36">
        <v>34</v>
      </c>
      <c r="C36" s="2">
        <f>-'Analysis (Nothing)'!D39</f>
        <v>-4610.1491344018832</v>
      </c>
      <c r="D36" s="2">
        <f>'Analysis (A)'!Q78</f>
        <v>-4269.3037788038919</v>
      </c>
      <c r="E36" s="2">
        <f>'Analysis (B)'!R78</f>
        <v>-1174.4052058479247</v>
      </c>
      <c r="F36" s="2">
        <f>'Analysis (C)'!R78</f>
        <v>484.97300763280919</v>
      </c>
      <c r="G36" s="7">
        <f t="shared" si="1"/>
        <v>-80498.251948143006</v>
      </c>
      <c r="H36" s="7">
        <f t="shared" si="2"/>
        <v>-77694.611755771737</v>
      </c>
      <c r="I36" s="7">
        <f t="shared" si="3"/>
        <v>-53592.109170641968</v>
      </c>
      <c r="J36" s="7">
        <f t="shared" si="4"/>
        <v>-41639.105542526187</v>
      </c>
      <c r="K36" s="2">
        <f>NPV(3%,$C$2:C36)</f>
        <v>-42701.130284680723</v>
      </c>
      <c r="L36" s="2">
        <f>NPV(3%,$D$2:D36)</f>
        <v>-41971.784676697651</v>
      </c>
      <c r="M36" s="2">
        <f>NPV(3%,$E$2:E36)</f>
        <v>-32921.139616010798</v>
      </c>
      <c r="N36" s="2">
        <f>NPV(3%,$F$2:F36)</f>
        <v>-28598.639010772516</v>
      </c>
    </row>
    <row r="37" spans="2:14" x14ac:dyDescent="0.25">
      <c r="B37">
        <v>35</v>
      </c>
      <c r="C37" s="2">
        <f>-'Analysis (Nothing)'!D40</f>
        <v>-4833.6258018731905</v>
      </c>
      <c r="D37" s="2">
        <f>'Analysis (A)'!Q79</f>
        <v>-4477.9156961216104</v>
      </c>
      <c r="E37" s="2">
        <f>'Analysis (B)'!R79</f>
        <v>-1253.1867304066968</v>
      </c>
      <c r="F37" s="2">
        <f>'Analysis (C)'!R79</f>
        <v>450.5639382904476</v>
      </c>
      <c r="G37" s="7">
        <f t="shared" si="1"/>
        <v>-85331.877750016196</v>
      </c>
      <c r="H37" s="7">
        <f t="shared" si="2"/>
        <v>-82172.527451893344</v>
      </c>
      <c r="I37" s="7">
        <f t="shared" si="3"/>
        <v>-54845.295901048667</v>
      </c>
      <c r="J37" s="7">
        <f t="shared" si="4"/>
        <v>-41188.541604235739</v>
      </c>
      <c r="K37" s="2">
        <f>NPV(3%,$C$2:C37)</f>
        <v>-44368.887916917593</v>
      </c>
      <c r="L37" s="2">
        <f>NPV(3%,$D$2:D37)</f>
        <v>-43516.810788529889</v>
      </c>
      <c r="M37" s="2">
        <f>NPV(3%,$E$2:E37)</f>
        <v>-33353.529672651886</v>
      </c>
      <c r="N37" s="2">
        <f>NPV(3%,$F$2:F37)</f>
        <v>-28443.179842501075</v>
      </c>
    </row>
    <row r="38" spans="2:14" x14ac:dyDescent="0.25">
      <c r="B38">
        <v>36</v>
      </c>
      <c r="C38" s="2">
        <f>-'Analysis (Nothing)'!D41</f>
        <v>-5068.2436787411061</v>
      </c>
      <c r="D38" s="2">
        <f>'Analysis (A)'!Q80</f>
        <v>-4697.0054869755768</v>
      </c>
      <c r="E38" s="2">
        <f>'Analysis (B)'!R80</f>
        <v>-1336.2377380839673</v>
      </c>
      <c r="F38" s="2">
        <f>'Analysis (C)'!R80</f>
        <v>414.12952383433174</v>
      </c>
      <c r="G38" s="7">
        <f t="shared" si="1"/>
        <v>-90400.121428757295</v>
      </c>
      <c r="H38" s="7">
        <f t="shared" si="2"/>
        <v>-86869.532938868913</v>
      </c>
      <c r="I38" s="7">
        <f t="shared" si="3"/>
        <v>-56181.533639132635</v>
      </c>
      <c r="J38" s="7">
        <f t="shared" si="4"/>
        <v>-40774.412080401409</v>
      </c>
      <c r="K38" s="2">
        <f>NPV(3%,$C$2:C38)</f>
        <v>-46066.663069591639</v>
      </c>
      <c r="L38" s="2">
        <f>NPV(3%,$D$2:D38)</f>
        <v>-45090.227481418966</v>
      </c>
      <c r="M38" s="2">
        <f>NPV(3%,$E$2:E38)</f>
        <v>-33801.146514616325</v>
      </c>
      <c r="N38" s="2">
        <f>NPV(3%,$F$2:F38)</f>
        <v>-28304.453518330076</v>
      </c>
    </row>
    <row r="39" spans="2:14" x14ac:dyDescent="0.25">
      <c r="B39">
        <v>37</v>
      </c>
      <c r="C39" s="2">
        <f>-'Analysis (Nothing)'!D42</f>
        <v>-5314.5653324706764</v>
      </c>
      <c r="D39" s="2">
        <f>'Analysis (A)'!Q81</f>
        <v>-4927.1057235672897</v>
      </c>
      <c r="E39" s="2">
        <f>'Analysis (B)'!R81</f>
        <v>-1423.7854542748919</v>
      </c>
      <c r="F39" s="2">
        <f>'Analysis (C)'!R81</f>
        <v>375.56311103558869</v>
      </c>
      <c r="G39" s="7">
        <f t="shared" si="1"/>
        <v>-95714.686761227975</v>
      </c>
      <c r="H39" s="7">
        <f t="shared" si="2"/>
        <v>-91796.638662436206</v>
      </c>
      <c r="I39" s="7">
        <f t="shared" si="3"/>
        <v>-57605.319093407525</v>
      </c>
      <c r="J39" s="7">
        <f t="shared" si="4"/>
        <v>-40398.848969365819</v>
      </c>
      <c r="K39" s="2">
        <f>NPV(3%,$C$2:C39)</f>
        <v>-47795.098704226897</v>
      </c>
      <c r="L39" s="2">
        <f>NPV(3%,$D$2:D39)</f>
        <v>-46692.651118249109</v>
      </c>
      <c r="M39" s="2">
        <f>NPV(3%,$E$2:E39)</f>
        <v>-34264.198779720384</v>
      </c>
      <c r="N39" s="2">
        <f>NPV(3%,$F$2:F39)</f>
        <v>-28182.310572753257</v>
      </c>
    </row>
    <row r="40" spans="2:14" x14ac:dyDescent="0.25">
      <c r="B40">
        <v>38</v>
      </c>
      <c r="C40" s="2">
        <f>-'Analysis (Nothing)'!D43</f>
        <v>-5573.1818975149581</v>
      </c>
      <c r="D40" s="2">
        <f>'Analysis (A)'!Q82</f>
        <v>-5168.7761823612645</v>
      </c>
      <c r="E40" s="2">
        <f>'Analysis (B)'!R82</f>
        <v>-1516.0691572187779</v>
      </c>
      <c r="F40" s="2">
        <f>'Analysis (C)'!R82</f>
        <v>334.75243322365941</v>
      </c>
      <c r="G40" s="7">
        <f t="shared" si="1"/>
        <v>-101287.86865874293</v>
      </c>
      <c r="H40" s="7">
        <f t="shared" si="2"/>
        <v>-96965.414844797473</v>
      </c>
      <c r="I40" s="7">
        <f t="shared" si="3"/>
        <v>-59121.388250626303</v>
      </c>
      <c r="J40" s="7">
        <f t="shared" si="4"/>
        <v>-40064.096536142162</v>
      </c>
      <c r="K40" s="2">
        <f>NPV(3%,$C$2:C40)</f>
        <v>-49554.850650853645</v>
      </c>
      <c r="L40" s="2">
        <f>NPV(3%,$D$2:D40)</f>
        <v>-48324.710526294621</v>
      </c>
      <c r="M40" s="2">
        <f>NPV(3%,$E$2:E40)</f>
        <v>-34742.90299208893</v>
      </c>
      <c r="N40" s="2">
        <f>NPV(3%,$F$2:F40)</f>
        <v>-28076.611304931757</v>
      </c>
    </row>
    <row r="41" spans="2:14" x14ac:dyDescent="0.25">
      <c r="B41">
        <v>39</v>
      </c>
      <c r="C41" s="2">
        <f>-'Analysis (Nothing)'!D44</f>
        <v>-5844.7145295044402</v>
      </c>
      <c r="D41" s="2">
        <f>'Analysis (A)'!Q83</f>
        <v>-5422.605236275921</v>
      </c>
      <c r="E41" s="2">
        <f>'Analysis (B)'!R83</f>
        <v>-1613.3408150811233</v>
      </c>
      <c r="F41" s="2">
        <f>'Analysis (C)'!R83</f>
        <v>291.57931455044263</v>
      </c>
      <c r="G41" s="7">
        <f t="shared" si="1"/>
        <v>-107132.58318824737</v>
      </c>
      <c r="H41" s="7">
        <f t="shared" si="2"/>
        <v>-102388.02008107339</v>
      </c>
      <c r="I41" s="7">
        <f t="shared" si="3"/>
        <v>-60734.729065707426</v>
      </c>
      <c r="J41" s="7">
        <f t="shared" si="4"/>
        <v>-39772.517221591719</v>
      </c>
      <c r="K41" s="2">
        <f>NPV(3%,$C$2:C41)</f>
        <v>-51346.587872243297</v>
      </c>
      <c r="L41" s="2">
        <f>NPV(3%,$D$2:D41)</f>
        <v>-49987.047256290862</v>
      </c>
      <c r="M41" s="2">
        <f>NPV(3%,$E$2:E41)</f>
        <v>-35237.483655451644</v>
      </c>
      <c r="N41" s="2">
        <f>NPV(3%,$F$2:F41)</f>
        <v>-27987.225671428183</v>
      </c>
    </row>
    <row r="42" spans="2:14" x14ac:dyDescent="0.25">
      <c r="B42">
        <v>40</v>
      </c>
      <c r="C42" s="2">
        <f>-'Analysis (Nothing)'!D45</f>
        <v>-6129.8159335401424</v>
      </c>
      <c r="D42" s="2">
        <f>'Analysis (A)'!Q84</f>
        <v>-5656.8599546878213</v>
      </c>
      <c r="E42" s="2">
        <f>'Analysis (B)'!R84</f>
        <v>-1084.6022901894075</v>
      </c>
      <c r="F42" s="2">
        <f>'Analysis (C)'!R84</f>
        <v>1153.6449395223037</v>
      </c>
      <c r="G42" s="7">
        <f t="shared" ref="G42" si="5">G41+C42</f>
        <v>-113262.39912178752</v>
      </c>
      <c r="H42" s="7">
        <f t="shared" ref="H42" si="6">H41+D42</f>
        <v>-108044.88003576122</v>
      </c>
      <c r="I42" s="7">
        <f t="shared" ref="I42" si="7">I41+E42</f>
        <v>-61819.331355896837</v>
      </c>
      <c r="J42" s="7">
        <f t="shared" ref="J42" si="8">J41+F42</f>
        <v>-38618.872282069417</v>
      </c>
      <c r="K42" s="2">
        <f>NPV(3%,$C$2:C42)</f>
        <v>-53170.992733516119</v>
      </c>
      <c r="L42" s="2">
        <f>NPV(3%,$D$2:D42)</f>
        <v>-51670.687175134502</v>
      </c>
      <c r="M42" s="2">
        <f>NPV(3%,$E$2:E42)</f>
        <v>-35560.291666690959</v>
      </c>
      <c r="N42" s="2">
        <f>NPV(3%,$F$2:F42)</f>
        <v>-27643.868634501341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A65-7B3D-E248-900D-85B6D1E63997}">
  <sheetPr>
    <tabColor rgb="FF00B0F0"/>
  </sheetPr>
  <dimension ref="B2:K72"/>
  <sheetViews>
    <sheetView showGridLines="0" topLeftCell="A67" zoomScaleNormal="100" workbookViewId="0">
      <selection activeCell="F59" sqref="F59"/>
    </sheetView>
  </sheetViews>
  <sheetFormatPr defaultColWidth="11.42578125" defaultRowHeight="16.5" x14ac:dyDescent="0.3"/>
  <cols>
    <col min="1" max="1" width="11.42578125" style="162"/>
    <col min="2" max="2" width="20.7109375" style="162" bestFit="1" customWidth="1"/>
    <col min="3" max="3" width="15.5703125" style="162" bestFit="1" customWidth="1"/>
    <col min="4" max="5" width="14.28515625" style="162" bestFit="1" customWidth="1"/>
    <col min="6" max="6" width="13" style="162" bestFit="1" customWidth="1"/>
    <col min="7" max="7" width="11.85546875" style="162" bestFit="1" customWidth="1"/>
    <col min="8" max="8" width="12.140625" style="162" bestFit="1" customWidth="1"/>
    <col min="9" max="9" width="17.42578125" style="162" bestFit="1" customWidth="1"/>
    <col min="10" max="10" width="11.85546875" style="162" bestFit="1" customWidth="1"/>
    <col min="11" max="16384" width="11.42578125" style="162"/>
  </cols>
  <sheetData>
    <row r="2" spans="2:11" ht="129" x14ac:dyDescent="2.2000000000000002">
      <c r="B2" s="161" t="s">
        <v>225</v>
      </c>
    </row>
    <row r="3" spans="2:11" x14ac:dyDescent="0.3">
      <c r="B3" s="162" t="s">
        <v>122</v>
      </c>
    </row>
    <row r="4" spans="2:11" x14ac:dyDescent="0.3">
      <c r="B4" s="255" t="s">
        <v>123</v>
      </c>
      <c r="C4" s="255"/>
      <c r="D4" s="255"/>
      <c r="E4" s="255"/>
      <c r="F4" s="255"/>
      <c r="G4" s="255"/>
      <c r="H4" s="255"/>
      <c r="I4" s="255"/>
      <c r="J4" s="255"/>
      <c r="K4" s="255"/>
    </row>
    <row r="5" spans="2:11" x14ac:dyDescent="0.3">
      <c r="B5" s="238" t="s">
        <v>5</v>
      </c>
      <c r="C5" s="238" t="s">
        <v>124</v>
      </c>
      <c r="D5" s="238" t="s">
        <v>129</v>
      </c>
      <c r="E5" s="238" t="s">
        <v>6</v>
      </c>
      <c r="F5" s="238" t="s">
        <v>125</v>
      </c>
      <c r="G5" s="238" t="s">
        <v>126</v>
      </c>
      <c r="H5" s="238" t="s">
        <v>146</v>
      </c>
      <c r="I5" s="238" t="s">
        <v>147</v>
      </c>
      <c r="J5" s="254" t="s">
        <v>127</v>
      </c>
      <c r="K5" s="254"/>
    </row>
    <row r="6" spans="2:11" x14ac:dyDescent="0.3">
      <c r="B6" s="162" t="s">
        <v>74</v>
      </c>
      <c r="C6" s="162">
        <v>4</v>
      </c>
      <c r="D6" s="211">
        <v>238</v>
      </c>
      <c r="E6" s="211">
        <f>D6*C6</f>
        <v>952</v>
      </c>
      <c r="F6" s="162">
        <v>43</v>
      </c>
      <c r="G6" s="239">
        <v>0.3</v>
      </c>
      <c r="H6" s="211">
        <v>0</v>
      </c>
      <c r="I6" s="239" t="s">
        <v>148</v>
      </c>
      <c r="J6" s="162">
        <v>100</v>
      </c>
      <c r="K6" s="162" t="s">
        <v>128</v>
      </c>
    </row>
    <row r="7" spans="2:11" x14ac:dyDescent="0.3">
      <c r="B7" s="162" t="s">
        <v>130</v>
      </c>
      <c r="C7" s="162">
        <v>1</v>
      </c>
      <c r="D7" s="211">
        <v>150</v>
      </c>
      <c r="E7" s="211">
        <f t="shared" ref="E7:E9" si="0">D7*C7</f>
        <v>150</v>
      </c>
      <c r="F7" s="162">
        <v>43</v>
      </c>
      <c r="G7" s="239">
        <v>0.3</v>
      </c>
      <c r="H7" s="211">
        <v>0</v>
      </c>
      <c r="I7" s="240">
        <v>10</v>
      </c>
    </row>
    <row r="8" spans="2:11" x14ac:dyDescent="0.3">
      <c r="B8" s="162" t="s">
        <v>131</v>
      </c>
      <c r="C8" s="162">
        <v>1</v>
      </c>
      <c r="D8" s="211">
        <v>539.5</v>
      </c>
      <c r="E8" s="211">
        <f t="shared" si="0"/>
        <v>539.5</v>
      </c>
      <c r="F8" s="162">
        <v>43</v>
      </c>
      <c r="G8" s="239">
        <v>0.3</v>
      </c>
      <c r="H8" s="211">
        <v>0</v>
      </c>
      <c r="I8" s="240">
        <v>10</v>
      </c>
      <c r="J8" s="162">
        <v>1800</v>
      </c>
      <c r="K8" s="162" t="s">
        <v>132</v>
      </c>
    </row>
    <row r="9" spans="2:11" x14ac:dyDescent="0.3">
      <c r="B9" s="162" t="s">
        <v>133</v>
      </c>
      <c r="C9" s="162">
        <v>8</v>
      </c>
      <c r="D9" s="211">
        <v>26</v>
      </c>
      <c r="E9" s="211">
        <f t="shared" si="0"/>
        <v>208</v>
      </c>
      <c r="F9" s="162">
        <v>43</v>
      </c>
      <c r="G9" s="239">
        <v>0.3</v>
      </c>
      <c r="H9" s="211">
        <v>0</v>
      </c>
      <c r="I9" s="240">
        <v>10</v>
      </c>
      <c r="J9" s="162">
        <v>96</v>
      </c>
      <c r="K9" s="162" t="s">
        <v>134</v>
      </c>
    </row>
    <row r="11" spans="2:11" x14ac:dyDescent="0.3">
      <c r="B11" s="255" t="s">
        <v>139</v>
      </c>
      <c r="C11" s="255"/>
      <c r="G11" s="241"/>
    </row>
    <row r="12" spans="2:11" x14ac:dyDescent="0.3">
      <c r="B12" s="201" t="s">
        <v>144</v>
      </c>
      <c r="C12" s="162">
        <v>4</v>
      </c>
      <c r="D12" s="162" t="s">
        <v>145</v>
      </c>
      <c r="G12" s="241"/>
    </row>
    <row r="13" spans="2:11" x14ac:dyDescent="0.3">
      <c r="B13" s="201"/>
      <c r="G13" s="241"/>
    </row>
    <row r="14" spans="2:11" x14ac:dyDescent="0.3">
      <c r="B14" s="201" t="s">
        <v>191</v>
      </c>
      <c r="G14" s="241"/>
    </row>
    <row r="15" spans="2:11" x14ac:dyDescent="0.3">
      <c r="B15" s="162" t="s">
        <v>189</v>
      </c>
      <c r="C15" s="211">
        <f>E6*(1+Constants!$D$24)</f>
        <v>999.6</v>
      </c>
      <c r="G15" s="241"/>
    </row>
    <row r="16" spans="2:11" x14ac:dyDescent="0.3">
      <c r="B16" s="162" t="s">
        <v>190</v>
      </c>
      <c r="C16" s="242">
        <f>SUM(E7:E9)*(1+Constants!$D$24)</f>
        <v>942.375</v>
      </c>
      <c r="D16" s="162" t="s">
        <v>217</v>
      </c>
      <c r="E16" s="162">
        <v>10</v>
      </c>
      <c r="F16" s="162" t="s">
        <v>155</v>
      </c>
    </row>
    <row r="17" spans="2:5" x14ac:dyDescent="0.3">
      <c r="B17" s="162" t="s">
        <v>139</v>
      </c>
      <c r="C17" s="211">
        <f>C12*Constants!$D$26</f>
        <v>96</v>
      </c>
    </row>
    <row r="18" spans="2:5" x14ac:dyDescent="0.3">
      <c r="B18" s="201" t="s">
        <v>87</v>
      </c>
      <c r="C18" s="243">
        <f>SUM(C15:C17)</f>
        <v>2037.9749999999999</v>
      </c>
      <c r="D18" s="242">
        <f>SUM(C15:C16)</f>
        <v>1941.9749999999999</v>
      </c>
    </row>
    <row r="20" spans="2:5" x14ac:dyDescent="0.3">
      <c r="C20" s="242">
        <f>0.9*C24</f>
        <v>360</v>
      </c>
    </row>
    <row r="21" spans="2:5" x14ac:dyDescent="0.3">
      <c r="C21" s="242">
        <f>C18-C20</f>
        <v>1677.9749999999999</v>
      </c>
    </row>
    <row r="23" spans="2:5" x14ac:dyDescent="0.3">
      <c r="B23" s="255" t="s">
        <v>7</v>
      </c>
      <c r="C23" s="255"/>
    </row>
    <row r="24" spans="2:5" x14ac:dyDescent="0.3">
      <c r="B24" s="162" t="s">
        <v>204</v>
      </c>
      <c r="C24" s="162">
        <f>C6*J6</f>
        <v>400</v>
      </c>
      <c r="D24" s="162" t="s">
        <v>132</v>
      </c>
    </row>
    <row r="26" spans="2:5" s="244" customFormat="1" x14ac:dyDescent="0.3"/>
    <row r="28" spans="2:5" ht="129" x14ac:dyDescent="2.2000000000000002">
      <c r="B28" s="161" t="s">
        <v>226</v>
      </c>
    </row>
    <row r="29" spans="2:5" x14ac:dyDescent="0.3">
      <c r="B29" s="162" t="s">
        <v>198</v>
      </c>
      <c r="E29" s="242"/>
    </row>
    <row r="31" spans="2:5" x14ac:dyDescent="0.3">
      <c r="B31" s="162" t="s">
        <v>204</v>
      </c>
      <c r="C31" s="162">
        <v>5</v>
      </c>
      <c r="D31" s="162" t="s">
        <v>209</v>
      </c>
    </row>
    <row r="32" spans="2:5" x14ac:dyDescent="0.3">
      <c r="B32" s="162" t="s">
        <v>210</v>
      </c>
      <c r="C32" s="211">
        <f>Constants!$R$33</f>
        <v>4120</v>
      </c>
    </row>
    <row r="33" spans="2:8" x14ac:dyDescent="0.3">
      <c r="B33" s="162" t="s">
        <v>211</v>
      </c>
      <c r="C33" s="211">
        <f>C31*Constants!$R$34</f>
        <v>14500</v>
      </c>
      <c r="E33" s="162" t="s">
        <v>251</v>
      </c>
    </row>
    <row r="34" spans="2:8" x14ac:dyDescent="0.3">
      <c r="B34" s="162" t="s">
        <v>214</v>
      </c>
      <c r="C34" s="211">
        <f>C33+C32</f>
        <v>18620</v>
      </c>
      <c r="E34" s="162" t="s">
        <v>252</v>
      </c>
      <c r="F34" s="211">
        <f>PMT(Constants!$D$19+2%,5,-(Configurations!C34-Configurations!C35))</f>
        <v>3261.3641495711458</v>
      </c>
    </row>
    <row r="35" spans="2:8" x14ac:dyDescent="0.3">
      <c r="B35" s="162" t="s">
        <v>161</v>
      </c>
      <c r="C35" s="188">
        <f>MIN(Configurations!$C$31*1000*Incentives!$C$5,Incentives!$F$5*Configurations!$C$34)+Configurations!$C$31*1000*Incentives!$C$6</f>
        <v>4500</v>
      </c>
      <c r="E35" s="162" t="s">
        <v>253</v>
      </c>
      <c r="F35" s="211">
        <f>PMT(Constants!$D$19+2%,15,-(Configurations!C34-Configurations!C35))</f>
        <v>1360.3531010425304</v>
      </c>
    </row>
    <row r="37" spans="2:8" x14ac:dyDescent="0.3">
      <c r="B37" s="201" t="s">
        <v>4</v>
      </c>
      <c r="C37" s="201" t="s">
        <v>222</v>
      </c>
      <c r="D37" s="201" t="s">
        <v>6</v>
      </c>
      <c r="E37" s="245" t="s">
        <v>8</v>
      </c>
      <c r="F37" s="201" t="s">
        <v>223</v>
      </c>
      <c r="G37" s="201" t="s">
        <v>224</v>
      </c>
    </row>
    <row r="38" spans="2:8" x14ac:dyDescent="0.3">
      <c r="B38" s="162" t="s">
        <v>74</v>
      </c>
      <c r="C38" s="239">
        <v>0.35</v>
      </c>
      <c r="D38" s="241">
        <f>C38*$C$34</f>
        <v>6517</v>
      </c>
      <c r="E38" s="162">
        <v>43</v>
      </c>
      <c r="F38" s="239">
        <v>0.3</v>
      </c>
    </row>
    <row r="39" spans="2:8" x14ac:dyDescent="0.3">
      <c r="B39" s="162" t="s">
        <v>75</v>
      </c>
      <c r="C39" s="239">
        <v>0.2</v>
      </c>
      <c r="D39" s="241">
        <f t="shared" ref="D39:D44" si="1">C39*$C$34</f>
        <v>3724</v>
      </c>
      <c r="E39" s="162">
        <v>43</v>
      </c>
      <c r="F39" s="239">
        <v>0.3</v>
      </c>
      <c r="G39" s="162">
        <v>10</v>
      </c>
      <c r="H39" s="162" t="s">
        <v>155</v>
      </c>
    </row>
    <row r="40" spans="2:8" x14ac:dyDescent="0.3">
      <c r="B40" s="162" t="s">
        <v>119</v>
      </c>
      <c r="C40" s="239">
        <v>0.09</v>
      </c>
      <c r="D40" s="241">
        <f t="shared" si="1"/>
        <v>1675.8</v>
      </c>
      <c r="E40" s="162">
        <v>17</v>
      </c>
      <c r="F40" s="239">
        <v>0.1</v>
      </c>
    </row>
    <row r="41" spans="2:8" x14ac:dyDescent="0.3">
      <c r="B41" s="162" t="s">
        <v>118</v>
      </c>
      <c r="C41" s="239">
        <v>0.14000000000000001</v>
      </c>
      <c r="D41" s="241">
        <f t="shared" si="1"/>
        <v>2606.8000000000002</v>
      </c>
      <c r="E41" s="162">
        <v>8</v>
      </c>
      <c r="F41" s="239">
        <v>0.2</v>
      </c>
      <c r="G41" s="162">
        <v>10</v>
      </c>
      <c r="H41" s="162" t="s">
        <v>155</v>
      </c>
    </row>
    <row r="42" spans="2:8" x14ac:dyDescent="0.3">
      <c r="B42" s="162" t="s">
        <v>77</v>
      </c>
      <c r="C42" s="239">
        <v>0.04</v>
      </c>
      <c r="D42" s="241">
        <f t="shared" si="1"/>
        <v>744.80000000000007</v>
      </c>
      <c r="E42" s="162" t="s">
        <v>120</v>
      </c>
      <c r="F42" s="162" t="s">
        <v>120</v>
      </c>
    </row>
    <row r="43" spans="2:8" x14ac:dyDescent="0.3">
      <c r="B43" s="162" t="s">
        <v>78</v>
      </c>
      <c r="C43" s="239">
        <v>0.02</v>
      </c>
      <c r="D43" s="241">
        <f t="shared" si="1"/>
        <v>372.40000000000003</v>
      </c>
      <c r="E43" s="162" t="s">
        <v>120</v>
      </c>
      <c r="F43" s="162" t="s">
        <v>120</v>
      </c>
    </row>
    <row r="44" spans="2:8" x14ac:dyDescent="0.3">
      <c r="B44" s="162" t="s">
        <v>218</v>
      </c>
      <c r="C44" s="239">
        <v>0.16</v>
      </c>
      <c r="D44" s="241">
        <f t="shared" si="1"/>
        <v>2979.2000000000003</v>
      </c>
      <c r="E44" s="162" t="s">
        <v>120</v>
      </c>
      <c r="F44" s="162" t="s">
        <v>120</v>
      </c>
    </row>
    <row r="46" spans="2:8" x14ac:dyDescent="0.3">
      <c r="C46" s="162" t="s">
        <v>230</v>
      </c>
      <c r="D46" s="162" t="s">
        <v>232</v>
      </c>
      <c r="E46" s="162" t="s">
        <v>233</v>
      </c>
    </row>
    <row r="47" spans="2:8" x14ac:dyDescent="0.3">
      <c r="B47" s="162" t="s">
        <v>231</v>
      </c>
      <c r="C47" s="241">
        <f>SUM(D38:D39)</f>
        <v>10241</v>
      </c>
      <c r="D47" s="241">
        <f>D40</f>
        <v>1675.8</v>
      </c>
      <c r="E47" s="241">
        <f>D41</f>
        <v>2606.8000000000002</v>
      </c>
    </row>
    <row r="48" spans="2:8" x14ac:dyDescent="0.3">
      <c r="B48" s="162" t="s">
        <v>126</v>
      </c>
      <c r="C48" s="239">
        <v>0.3</v>
      </c>
      <c r="D48" s="239">
        <v>0.1</v>
      </c>
      <c r="E48" s="239">
        <v>0.2</v>
      </c>
    </row>
    <row r="50" spans="2:8" s="246" customFormat="1" x14ac:dyDescent="0.3"/>
    <row r="52" spans="2:8" ht="129" x14ac:dyDescent="2.2000000000000002">
      <c r="B52" s="161" t="s">
        <v>248</v>
      </c>
    </row>
    <row r="53" spans="2:8" x14ac:dyDescent="0.3">
      <c r="B53" s="162" t="s">
        <v>249</v>
      </c>
    </row>
    <row r="55" spans="2:8" x14ac:dyDescent="0.3">
      <c r="B55" s="162" t="s">
        <v>204</v>
      </c>
      <c r="C55" s="162">
        <v>10</v>
      </c>
      <c r="D55" s="162" t="s">
        <v>209</v>
      </c>
    </row>
    <row r="56" spans="2:8" x14ac:dyDescent="0.3">
      <c r="B56" s="162" t="s">
        <v>210</v>
      </c>
      <c r="C56" s="211">
        <f>Constants!$R$33</f>
        <v>4120</v>
      </c>
      <c r="E56" s="242">
        <f>C58-C59</f>
        <v>24120</v>
      </c>
    </row>
    <row r="57" spans="2:8" x14ac:dyDescent="0.3">
      <c r="B57" s="162" t="s">
        <v>211</v>
      </c>
      <c r="C57" s="211">
        <f>C55*Constants!$R$34</f>
        <v>29000</v>
      </c>
      <c r="E57" s="162" t="s">
        <v>251</v>
      </c>
    </row>
    <row r="58" spans="2:8" x14ac:dyDescent="0.3">
      <c r="B58" s="162" t="s">
        <v>214</v>
      </c>
      <c r="C58" s="211">
        <f>C57+C56</f>
        <v>33120</v>
      </c>
      <c r="D58" s="242"/>
      <c r="E58" s="162" t="s">
        <v>252</v>
      </c>
      <c r="F58" s="211">
        <f>PMT(Constants!$D$19+2%,5,-(Configurations!C58-Configurations!C59))</f>
        <v>5571.1121308538277</v>
      </c>
      <c r="G58" s="162" t="s">
        <v>264</v>
      </c>
      <c r="H58" s="301">
        <f>PMT(Constants!$D$21, 10, -($C$58-$C$59))</f>
        <v>2827.5998193164492</v>
      </c>
    </row>
    <row r="59" spans="2:8" x14ac:dyDescent="0.3">
      <c r="B59" s="162" t="s">
        <v>161</v>
      </c>
      <c r="C59" s="188">
        <f>MIN(Configurations!$C$55*1000*Incentives!$C$5,Incentives!$F$5*Configurations!$C$58)+Configurations!$C$55*1000*Incentives!$C$6</f>
        <v>9000</v>
      </c>
      <c r="E59" s="162" t="s">
        <v>253</v>
      </c>
      <c r="F59" s="211">
        <f>PMT(Constants!$D$19+2%,15,-(Configurations!C58-Configurations!C59))</f>
        <v>2323.7759771349743</v>
      </c>
    </row>
    <row r="61" spans="2:8" x14ac:dyDescent="0.3">
      <c r="B61" s="201" t="s">
        <v>4</v>
      </c>
      <c r="C61" s="201" t="s">
        <v>222</v>
      </c>
      <c r="D61" s="201" t="s">
        <v>6</v>
      </c>
      <c r="E61" s="245" t="s">
        <v>8</v>
      </c>
      <c r="F61" s="201" t="s">
        <v>223</v>
      </c>
      <c r="G61" s="201" t="s">
        <v>224</v>
      </c>
    </row>
    <row r="62" spans="2:8" x14ac:dyDescent="0.3">
      <c r="B62" s="162" t="s">
        <v>74</v>
      </c>
      <c r="C62" s="239">
        <v>0.35</v>
      </c>
      <c r="D62" s="241">
        <f>C62*$C$58</f>
        <v>11592</v>
      </c>
      <c r="E62" s="162">
        <v>43</v>
      </c>
      <c r="F62" s="239">
        <v>0.3</v>
      </c>
    </row>
    <row r="63" spans="2:8" x14ac:dyDescent="0.3">
      <c r="B63" s="162" t="s">
        <v>75</v>
      </c>
      <c r="C63" s="239">
        <v>0.2</v>
      </c>
      <c r="D63" s="241">
        <f t="shared" ref="D63:D68" si="2">C63*$C$58</f>
        <v>6624</v>
      </c>
      <c r="E63" s="162">
        <v>43</v>
      </c>
      <c r="F63" s="239">
        <v>0.3</v>
      </c>
      <c r="G63" s="162">
        <v>10</v>
      </c>
      <c r="H63" s="162" t="s">
        <v>155</v>
      </c>
    </row>
    <row r="64" spans="2:8" x14ac:dyDescent="0.3">
      <c r="B64" s="162" t="s">
        <v>119</v>
      </c>
      <c r="C64" s="239">
        <v>0.09</v>
      </c>
      <c r="D64" s="241">
        <f t="shared" si="2"/>
        <v>2980.7999999999997</v>
      </c>
      <c r="E64" s="162">
        <v>17</v>
      </c>
      <c r="F64" s="239">
        <v>0.1</v>
      </c>
    </row>
    <row r="65" spans="2:8" x14ac:dyDescent="0.3">
      <c r="B65" s="162" t="s">
        <v>118</v>
      </c>
      <c r="C65" s="239">
        <v>0.14000000000000001</v>
      </c>
      <c r="D65" s="241">
        <f t="shared" si="2"/>
        <v>4636.8</v>
      </c>
      <c r="E65" s="162">
        <v>8</v>
      </c>
      <c r="F65" s="239">
        <v>0.2</v>
      </c>
      <c r="G65" s="162">
        <v>10</v>
      </c>
      <c r="H65" s="162" t="s">
        <v>155</v>
      </c>
    </row>
    <row r="66" spans="2:8" x14ac:dyDescent="0.3">
      <c r="B66" s="162" t="s">
        <v>77</v>
      </c>
      <c r="C66" s="239">
        <v>0.04</v>
      </c>
      <c r="D66" s="241">
        <f t="shared" si="2"/>
        <v>1324.8</v>
      </c>
      <c r="E66" s="162" t="s">
        <v>120</v>
      </c>
      <c r="F66" s="162" t="s">
        <v>120</v>
      </c>
    </row>
    <row r="67" spans="2:8" x14ac:dyDescent="0.3">
      <c r="B67" s="162" t="s">
        <v>78</v>
      </c>
      <c r="C67" s="239">
        <v>0.02</v>
      </c>
      <c r="D67" s="241">
        <f t="shared" si="2"/>
        <v>662.4</v>
      </c>
      <c r="E67" s="162" t="s">
        <v>120</v>
      </c>
      <c r="F67" s="162" t="s">
        <v>120</v>
      </c>
    </row>
    <row r="68" spans="2:8" x14ac:dyDescent="0.3">
      <c r="B68" s="162" t="s">
        <v>218</v>
      </c>
      <c r="C68" s="239">
        <v>0.16</v>
      </c>
      <c r="D68" s="241">
        <f t="shared" si="2"/>
        <v>5299.2</v>
      </c>
      <c r="E68" s="162" t="s">
        <v>120</v>
      </c>
      <c r="F68" s="162" t="s">
        <v>120</v>
      </c>
    </row>
    <row r="70" spans="2:8" x14ac:dyDescent="0.3">
      <c r="C70" s="162" t="s">
        <v>230</v>
      </c>
      <c r="D70" s="162" t="s">
        <v>232</v>
      </c>
      <c r="E70" s="162" t="s">
        <v>233</v>
      </c>
    </row>
    <row r="71" spans="2:8" x14ac:dyDescent="0.3">
      <c r="B71" s="162" t="s">
        <v>231</v>
      </c>
      <c r="C71" s="241">
        <f>SUM(D62:D63)</f>
        <v>18216</v>
      </c>
      <c r="D71" s="241">
        <f>D64</f>
        <v>2980.7999999999997</v>
      </c>
      <c r="E71" s="241">
        <f>D65</f>
        <v>4636.8</v>
      </c>
    </row>
    <row r="72" spans="2:8" x14ac:dyDescent="0.3">
      <c r="B72" s="162" t="s">
        <v>126</v>
      </c>
      <c r="C72" s="239">
        <v>0.3</v>
      </c>
      <c r="D72" s="239">
        <v>0.1</v>
      </c>
      <c r="E72" s="239">
        <v>0.2</v>
      </c>
    </row>
  </sheetData>
  <mergeCells count="4">
    <mergeCell ref="J5:K5"/>
    <mergeCell ref="B4:K4"/>
    <mergeCell ref="B11:C11"/>
    <mergeCell ref="B23:C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9F5E-0651-4121-8F8F-CF295634B784}">
  <sheetPr>
    <tabColor theme="9"/>
  </sheetPr>
  <dimension ref="B2:T58"/>
  <sheetViews>
    <sheetView showGridLines="0" zoomScaleNormal="100" workbookViewId="0">
      <selection activeCell="O14" sqref="O14"/>
    </sheetView>
  </sheetViews>
  <sheetFormatPr defaultColWidth="8.85546875" defaultRowHeight="15" x14ac:dyDescent="0.25"/>
  <cols>
    <col min="1" max="1" width="3.7109375" customWidth="1"/>
    <col min="3" max="3" width="5.140625" customWidth="1"/>
    <col min="5" max="5" width="9.42578125" bestFit="1" customWidth="1"/>
    <col min="7" max="7" width="11.28515625" bestFit="1" customWidth="1"/>
    <col min="8" max="8" width="12.42578125" bestFit="1" customWidth="1"/>
    <col min="9" max="10" width="11.42578125" bestFit="1" customWidth="1"/>
    <col min="11" max="12" width="11.42578125" customWidth="1"/>
    <col min="13" max="13" width="2.140625" customWidth="1"/>
    <col min="14" max="14" width="20.7109375" bestFit="1" customWidth="1"/>
  </cols>
  <sheetData>
    <row r="2" spans="2:20" x14ac:dyDescent="0.25">
      <c r="C2" s="270" t="s">
        <v>53</v>
      </c>
      <c r="D2" s="270"/>
      <c r="E2" s="270"/>
      <c r="F2" s="270"/>
      <c r="G2" s="270"/>
      <c r="H2" s="270"/>
      <c r="I2" s="270"/>
      <c r="J2" s="270"/>
      <c r="K2" s="270"/>
      <c r="L2" s="64"/>
      <c r="N2" s="250" t="s">
        <v>113</v>
      </c>
      <c r="O2" s="251"/>
      <c r="P2" s="24"/>
      <c r="R2" s="5"/>
      <c r="S2" t="s">
        <v>70</v>
      </c>
    </row>
    <row r="3" spans="2:20" x14ac:dyDescent="0.25">
      <c r="C3" s="260" t="s">
        <v>56</v>
      </c>
      <c r="D3" s="80" t="s">
        <v>67</v>
      </c>
      <c r="E3" s="80" t="s">
        <v>68</v>
      </c>
      <c r="F3" s="80" t="s">
        <v>69</v>
      </c>
      <c r="G3" s="80" t="s">
        <v>85</v>
      </c>
      <c r="H3" s="80" t="s">
        <v>83</v>
      </c>
      <c r="I3" s="80" t="s">
        <v>84</v>
      </c>
      <c r="J3" s="80" t="s">
        <v>58</v>
      </c>
      <c r="K3" s="80" t="s">
        <v>87</v>
      </c>
      <c r="L3" s="212" t="s">
        <v>163</v>
      </c>
      <c r="N3" s="25" t="s">
        <v>67</v>
      </c>
      <c r="O3" s="26">
        <v>0.5</v>
      </c>
      <c r="R3" s="2"/>
      <c r="S3" s="294" t="s">
        <v>71</v>
      </c>
    </row>
    <row r="4" spans="2:20" x14ac:dyDescent="0.25">
      <c r="C4" s="260"/>
      <c r="D4" s="80" t="s">
        <v>60</v>
      </c>
      <c r="E4" s="80" t="s">
        <v>60</v>
      </c>
      <c r="F4" s="80" t="s">
        <v>60</v>
      </c>
      <c r="G4" s="80" t="s">
        <v>60</v>
      </c>
      <c r="H4" s="80" t="s">
        <v>60</v>
      </c>
      <c r="I4" s="80" t="s">
        <v>60</v>
      </c>
      <c r="J4" s="80" t="s">
        <v>60</v>
      </c>
      <c r="K4" s="80" t="s">
        <v>60</v>
      </c>
      <c r="L4" s="213" t="s">
        <v>60</v>
      </c>
      <c r="N4" s="25" t="s">
        <v>68</v>
      </c>
      <c r="O4" s="26">
        <v>0.25</v>
      </c>
      <c r="R4" s="2"/>
      <c r="S4" s="294" t="s">
        <v>72</v>
      </c>
      <c r="T4" s="6"/>
    </row>
    <row r="5" spans="2:20" x14ac:dyDescent="0.25">
      <c r="B5" s="259" t="s">
        <v>54</v>
      </c>
      <c r="C5" s="15">
        <v>2006</v>
      </c>
      <c r="D5" s="16">
        <v>3.5000000000000003E-2</v>
      </c>
      <c r="E5" s="16">
        <v>7.4999999999999997E-2</v>
      </c>
      <c r="F5" s="16">
        <v>0.105</v>
      </c>
      <c r="G5" s="16">
        <f t="shared" ref="G5:G36" si="0">D5*$O$3+E5*$O$4+F5*$O$5</f>
        <v>6.25E-2</v>
      </c>
      <c r="H5" s="261" t="s">
        <v>112</v>
      </c>
      <c r="I5" s="262"/>
      <c r="J5" s="262"/>
      <c r="K5" s="263"/>
      <c r="L5" s="263" t="s">
        <v>112</v>
      </c>
      <c r="N5" s="19" t="s">
        <v>69</v>
      </c>
      <c r="O5" s="27">
        <v>0.25</v>
      </c>
      <c r="R5" s="2"/>
      <c r="S5" s="294" t="s">
        <v>91</v>
      </c>
      <c r="T5" s="6"/>
    </row>
    <row r="6" spans="2:20" x14ac:dyDescent="0.25">
      <c r="B6" s="259"/>
      <c r="C6" s="17">
        <v>2007</v>
      </c>
      <c r="D6" s="18">
        <v>3.2000000000000001E-2</v>
      </c>
      <c r="E6" s="18">
        <v>7.1999999999999995E-2</v>
      </c>
      <c r="F6" s="18">
        <v>9.1999999999999998E-2</v>
      </c>
      <c r="G6" s="18">
        <f t="shared" si="0"/>
        <v>5.7000000000000002E-2</v>
      </c>
      <c r="H6" s="264"/>
      <c r="I6" s="265"/>
      <c r="J6" s="265"/>
      <c r="K6" s="266"/>
      <c r="L6" s="266"/>
      <c r="R6" s="2"/>
      <c r="S6" s="294" t="s">
        <v>235</v>
      </c>
      <c r="T6" s="6"/>
    </row>
    <row r="7" spans="2:20" x14ac:dyDescent="0.25">
      <c r="B7" s="259"/>
      <c r="C7" s="17">
        <v>2008</v>
      </c>
      <c r="D7" s="18">
        <v>2.7E-2</v>
      </c>
      <c r="E7" s="18">
        <v>7.2999999999999995E-2</v>
      </c>
      <c r="F7" s="18">
        <v>9.2999999999999999E-2</v>
      </c>
      <c r="G7" s="18">
        <f t="shared" si="0"/>
        <v>5.5E-2</v>
      </c>
      <c r="H7" s="264"/>
      <c r="I7" s="265"/>
      <c r="J7" s="265"/>
      <c r="K7" s="266"/>
      <c r="L7" s="266"/>
      <c r="N7" s="256" t="s">
        <v>114</v>
      </c>
      <c r="O7" s="257"/>
    </row>
    <row r="8" spans="2:20" x14ac:dyDescent="0.25">
      <c r="B8" s="259"/>
      <c r="C8" s="17">
        <v>2009</v>
      </c>
      <c r="D8" s="18">
        <v>4.2000000000000003E-2</v>
      </c>
      <c r="E8" s="18">
        <v>7.5999999999999998E-2</v>
      </c>
      <c r="F8" s="18">
        <v>9.0999999999999998E-2</v>
      </c>
      <c r="G8" s="18">
        <f t="shared" si="0"/>
        <v>6.275E-2</v>
      </c>
      <c r="H8" s="264"/>
      <c r="I8" s="265"/>
      <c r="J8" s="265"/>
      <c r="K8" s="266"/>
      <c r="L8" s="266"/>
      <c r="N8" s="28" t="s">
        <v>83</v>
      </c>
      <c r="O8" s="29">
        <v>0.16800000000000001</v>
      </c>
    </row>
    <row r="9" spans="2:20" x14ac:dyDescent="0.25">
      <c r="B9" s="259"/>
      <c r="C9" s="17">
        <v>2010</v>
      </c>
      <c r="D9" s="18">
        <v>5.2999999999999999E-2</v>
      </c>
      <c r="E9" s="18">
        <v>0.08</v>
      </c>
      <c r="F9" s="18">
        <v>9.9000000000000005E-2</v>
      </c>
      <c r="G9" s="18">
        <f t="shared" si="0"/>
        <v>7.1250000000000008E-2</v>
      </c>
      <c r="H9" s="264"/>
      <c r="I9" s="265"/>
      <c r="J9" s="265"/>
      <c r="K9" s="266"/>
      <c r="L9" s="266"/>
      <c r="N9" s="25" t="s">
        <v>84</v>
      </c>
      <c r="O9" s="30">
        <v>0.13</v>
      </c>
    </row>
    <row r="10" spans="2:20" x14ac:dyDescent="0.25">
      <c r="B10" s="259"/>
      <c r="C10" s="17">
        <v>2011</v>
      </c>
      <c r="D10" s="18">
        <v>5.8999999999999997E-2</v>
      </c>
      <c r="E10" s="18">
        <v>8.8999999999999996E-2</v>
      </c>
      <c r="F10" s="18">
        <v>0.107</v>
      </c>
      <c r="G10" s="18">
        <f t="shared" si="0"/>
        <v>7.85E-2</v>
      </c>
      <c r="H10" s="264"/>
      <c r="I10" s="265"/>
      <c r="J10" s="265"/>
      <c r="K10" s="266"/>
      <c r="L10" s="266"/>
      <c r="N10" s="19" t="s">
        <v>86</v>
      </c>
      <c r="O10" s="31">
        <v>0.05</v>
      </c>
    </row>
    <row r="11" spans="2:20" x14ac:dyDescent="0.25">
      <c r="B11" s="259"/>
      <c r="C11" s="17">
        <v>2012</v>
      </c>
      <c r="D11" s="18">
        <v>6.5000000000000002E-2</v>
      </c>
      <c r="E11" s="18">
        <v>0.1</v>
      </c>
      <c r="F11" s="18">
        <v>0.11700000000000001</v>
      </c>
      <c r="G11" s="18">
        <f t="shared" si="0"/>
        <v>8.6750000000000008E-2</v>
      </c>
      <c r="H11" s="264"/>
      <c r="I11" s="265"/>
      <c r="J11" s="265"/>
      <c r="K11" s="266"/>
      <c r="L11" s="266"/>
    </row>
    <row r="12" spans="2:20" x14ac:dyDescent="0.25">
      <c r="B12" s="259"/>
      <c r="C12" s="17">
        <v>2013</v>
      </c>
      <c r="D12" s="18">
        <v>6.7000000000000004E-2</v>
      </c>
      <c r="E12" s="18">
        <v>0.104</v>
      </c>
      <c r="F12" s="18">
        <v>0.124</v>
      </c>
      <c r="G12" s="18">
        <f t="shared" si="0"/>
        <v>9.0499999999999997E-2</v>
      </c>
      <c r="H12" s="264"/>
      <c r="I12" s="265"/>
      <c r="J12" s="265"/>
      <c r="K12" s="266"/>
      <c r="L12" s="266"/>
      <c r="N12" s="256" t="s">
        <v>115</v>
      </c>
      <c r="O12" s="258"/>
      <c r="P12" s="257"/>
    </row>
    <row r="13" spans="2:20" x14ac:dyDescent="0.25">
      <c r="B13" s="259"/>
      <c r="C13" s="17">
        <v>2014</v>
      </c>
      <c r="D13" s="18">
        <v>7.4999999999999997E-2</v>
      </c>
      <c r="E13" s="18">
        <v>0.112</v>
      </c>
      <c r="F13" s="18">
        <v>0.13500000000000001</v>
      </c>
      <c r="G13" s="18">
        <f t="shared" si="0"/>
        <v>9.9250000000000005E-2</v>
      </c>
      <c r="H13" s="264"/>
      <c r="I13" s="265"/>
      <c r="J13" s="265"/>
      <c r="K13" s="266"/>
      <c r="L13" s="266"/>
      <c r="N13" s="28" t="s">
        <v>88</v>
      </c>
      <c r="O13" s="32">
        <v>5.0999999999999997E-2</v>
      </c>
      <c r="P13" s="33" t="s">
        <v>89</v>
      </c>
    </row>
    <row r="14" spans="2:20" x14ac:dyDescent="0.25">
      <c r="B14" s="259"/>
      <c r="C14" s="17">
        <v>2015</v>
      </c>
      <c r="D14" s="18">
        <v>0.08</v>
      </c>
      <c r="E14" s="18">
        <v>0.122</v>
      </c>
      <c r="F14" s="18">
        <v>0.161</v>
      </c>
      <c r="G14" s="18">
        <f t="shared" si="0"/>
        <v>0.11075000000000002</v>
      </c>
      <c r="H14" s="264"/>
      <c r="I14" s="265"/>
      <c r="J14" s="265"/>
      <c r="K14" s="266"/>
      <c r="L14" s="269"/>
      <c r="N14" s="19" t="s">
        <v>90</v>
      </c>
      <c r="O14" s="34">
        <v>2.1999999999999999E-2</v>
      </c>
      <c r="P14" s="35" t="s">
        <v>89</v>
      </c>
    </row>
    <row r="15" spans="2:20" x14ac:dyDescent="0.25">
      <c r="B15" s="259"/>
      <c r="C15" s="17">
        <v>2016</v>
      </c>
      <c r="D15" s="18">
        <v>8.6999999999999994E-2</v>
      </c>
      <c r="E15" s="18">
        <v>0.13200000000000001</v>
      </c>
      <c r="F15" s="18">
        <v>0.18</v>
      </c>
      <c r="G15" s="18">
        <f t="shared" si="0"/>
        <v>0.1215</v>
      </c>
      <c r="H15" s="264"/>
      <c r="I15" s="265"/>
      <c r="J15" s="265"/>
      <c r="K15" s="266"/>
      <c r="L15" s="214">
        <v>9.9000000000000005E-2</v>
      </c>
    </row>
    <row r="16" spans="2:20" x14ac:dyDescent="0.25">
      <c r="B16" s="259"/>
      <c r="C16" s="17">
        <v>2017</v>
      </c>
      <c r="D16" s="18">
        <v>7.6999999999999999E-2</v>
      </c>
      <c r="E16" s="18">
        <v>0.113</v>
      </c>
      <c r="F16" s="18">
        <v>0.157</v>
      </c>
      <c r="G16" s="18">
        <f t="shared" si="0"/>
        <v>0.10600000000000001</v>
      </c>
      <c r="H16" s="267"/>
      <c r="I16" s="268"/>
      <c r="J16" s="268"/>
      <c r="K16" s="269"/>
      <c r="L16" s="215">
        <f>L15*(1+$O$16)</f>
        <v>9.9990000000000009E-2</v>
      </c>
      <c r="N16" s="57" t="s">
        <v>234</v>
      </c>
      <c r="O16" s="61">
        <v>0.01</v>
      </c>
      <c r="P16" s="131" t="s">
        <v>89</v>
      </c>
    </row>
    <row r="17" spans="2:14" x14ac:dyDescent="0.25">
      <c r="B17" s="259"/>
      <c r="C17" s="19">
        <v>2018</v>
      </c>
      <c r="D17" s="39">
        <v>6.5000000000000002E-2</v>
      </c>
      <c r="E17" s="40">
        <v>9.4E-2</v>
      </c>
      <c r="F17" s="41">
        <v>0.13200000000000001</v>
      </c>
      <c r="G17" s="10">
        <f t="shared" si="0"/>
        <v>8.8999999999999996E-2</v>
      </c>
      <c r="H17" s="10">
        <f>$O$8*G17</f>
        <v>1.4952E-2</v>
      </c>
      <c r="I17" s="10">
        <f>$O$9*$G$5</f>
        <v>8.1250000000000003E-3</v>
      </c>
      <c r="J17" s="11">
        <f t="shared" ref="J17:J57" si="1">G17*$O$10</f>
        <v>4.45E-3</v>
      </c>
      <c r="K17" s="296">
        <f t="shared" ref="K17:K57" si="2">J17+I17+H17+G17</f>
        <v>0.11652699999999999</v>
      </c>
      <c r="L17" s="216">
        <f t="shared" ref="L17:L57" si="3">L16*(1+$O$16)</f>
        <v>0.10098990000000001</v>
      </c>
      <c r="M17" s="7"/>
      <c r="N17" s="7"/>
    </row>
    <row r="18" spans="2:14" x14ac:dyDescent="0.25">
      <c r="B18" s="259" t="s">
        <v>55</v>
      </c>
      <c r="C18" s="20">
        <v>2019</v>
      </c>
      <c r="D18" s="21">
        <f t="shared" ref="D18:D57" si="4">D17*(1+$O$13)</f>
        <v>6.8315000000000001E-2</v>
      </c>
      <c r="E18" s="21">
        <f t="shared" ref="E18:E57" si="5">E17*(1+$O$13)</f>
        <v>9.8793999999999993E-2</v>
      </c>
      <c r="F18" s="21">
        <f t="shared" ref="F18:F57" si="6">F17*(1+$O$13)</f>
        <v>0.13873199999999999</v>
      </c>
      <c r="G18" s="21">
        <f t="shared" si="0"/>
        <v>9.3538999999999997E-2</v>
      </c>
      <c r="H18" s="22">
        <f t="shared" ref="H18:H57" si="7">H17*(1+$O$14)</f>
        <v>1.5280944000000001E-2</v>
      </c>
      <c r="I18" s="21">
        <f t="shared" ref="I18:I57" si="8">I17*(1+$O$14)</f>
        <v>8.3037500000000004E-3</v>
      </c>
      <c r="J18" s="23">
        <f t="shared" si="1"/>
        <v>4.67695E-3</v>
      </c>
      <c r="K18" s="132">
        <f t="shared" si="2"/>
        <v>0.121800644</v>
      </c>
      <c r="L18" s="134">
        <f t="shared" si="3"/>
        <v>0.101999799</v>
      </c>
    </row>
    <row r="19" spans="2:14" x14ac:dyDescent="0.25">
      <c r="B19" s="259"/>
      <c r="C19" s="20">
        <v>2020</v>
      </c>
      <c r="D19" s="21">
        <f t="shared" si="4"/>
        <v>7.1799064999999995E-2</v>
      </c>
      <c r="E19" s="21">
        <f t="shared" si="5"/>
        <v>0.10383249399999998</v>
      </c>
      <c r="F19" s="21">
        <f t="shared" si="6"/>
        <v>0.14580733199999998</v>
      </c>
      <c r="G19" s="21">
        <f t="shared" si="0"/>
        <v>9.8309489E-2</v>
      </c>
      <c r="H19" s="21">
        <f t="shared" si="7"/>
        <v>1.5617124768000002E-2</v>
      </c>
      <c r="I19" s="21">
        <f t="shared" si="8"/>
        <v>8.4864325000000001E-3</v>
      </c>
      <c r="J19" s="23">
        <f t="shared" si="1"/>
        <v>4.9154744500000003E-3</v>
      </c>
      <c r="K19" s="132">
        <f t="shared" si="2"/>
        <v>0.12732852071799999</v>
      </c>
      <c r="L19" s="134">
        <f t="shared" si="3"/>
        <v>0.10301979699000001</v>
      </c>
    </row>
    <row r="20" spans="2:14" x14ac:dyDescent="0.25">
      <c r="B20" s="259"/>
      <c r="C20" s="20">
        <v>2021</v>
      </c>
      <c r="D20" s="21">
        <f t="shared" si="4"/>
        <v>7.5460817314999984E-2</v>
      </c>
      <c r="E20" s="21">
        <f t="shared" si="5"/>
        <v>0.10912795119399997</v>
      </c>
      <c r="F20" s="21">
        <f t="shared" si="6"/>
        <v>0.15324350593199998</v>
      </c>
      <c r="G20" s="21">
        <f t="shared" si="0"/>
        <v>0.10332327293899998</v>
      </c>
      <c r="H20" s="21">
        <f t="shared" si="7"/>
        <v>1.5960701512896001E-2</v>
      </c>
      <c r="I20" s="21">
        <f t="shared" si="8"/>
        <v>8.6731340150000003E-3</v>
      </c>
      <c r="J20" s="23">
        <f t="shared" si="1"/>
        <v>5.1661636469499993E-3</v>
      </c>
      <c r="K20" s="132">
        <f t="shared" si="2"/>
        <v>0.13312327211384598</v>
      </c>
      <c r="L20" s="134">
        <f t="shared" si="3"/>
        <v>0.10404999495990001</v>
      </c>
    </row>
    <row r="21" spans="2:14" x14ac:dyDescent="0.25">
      <c r="B21" s="259"/>
      <c r="C21" s="20">
        <v>2022</v>
      </c>
      <c r="D21" s="21">
        <f t="shared" si="4"/>
        <v>7.9309318998064982E-2</v>
      </c>
      <c r="E21" s="21">
        <f t="shared" si="5"/>
        <v>0.11469347670489397</v>
      </c>
      <c r="F21" s="21">
        <f t="shared" si="6"/>
        <v>0.16105892473453196</v>
      </c>
      <c r="G21" s="21">
        <f t="shared" si="0"/>
        <v>0.10859275985888897</v>
      </c>
      <c r="H21" s="21">
        <f t="shared" si="7"/>
        <v>1.6311836946179714E-2</v>
      </c>
      <c r="I21" s="21">
        <f t="shared" si="8"/>
        <v>8.8639429633300005E-3</v>
      </c>
      <c r="J21" s="23">
        <f t="shared" si="1"/>
        <v>5.4296379929444491E-3</v>
      </c>
      <c r="K21" s="132">
        <f t="shared" si="2"/>
        <v>0.13919817776134313</v>
      </c>
      <c r="L21" s="134">
        <f t="shared" si="3"/>
        <v>0.10509049490949901</v>
      </c>
    </row>
    <row r="22" spans="2:14" x14ac:dyDescent="0.25">
      <c r="B22" s="259"/>
      <c r="C22" s="36">
        <v>2023</v>
      </c>
      <c r="D22" s="37">
        <f t="shared" si="4"/>
        <v>8.3354094266966286E-2</v>
      </c>
      <c r="E22" s="37">
        <f t="shared" si="5"/>
        <v>0.12054284401684355</v>
      </c>
      <c r="F22" s="37">
        <f t="shared" si="6"/>
        <v>0.16927292989599307</v>
      </c>
      <c r="G22" s="37">
        <f t="shared" si="0"/>
        <v>0.1141309906116923</v>
      </c>
      <c r="H22" s="37">
        <f t="shared" si="7"/>
        <v>1.6670697358995668E-2</v>
      </c>
      <c r="I22" s="37">
        <f t="shared" si="8"/>
        <v>9.0589497085232611E-3</v>
      </c>
      <c r="J22" s="38">
        <f t="shared" si="1"/>
        <v>5.7065495305846153E-3</v>
      </c>
      <c r="K22" s="295">
        <f t="shared" si="2"/>
        <v>0.14556718720979583</v>
      </c>
      <c r="L22" s="134">
        <f t="shared" si="3"/>
        <v>0.106141399858594</v>
      </c>
    </row>
    <row r="23" spans="2:14" x14ac:dyDescent="0.25">
      <c r="B23" s="259"/>
      <c r="C23" s="20">
        <v>2024</v>
      </c>
      <c r="D23" s="21">
        <f t="shared" si="4"/>
        <v>8.7605153074581554E-2</v>
      </c>
      <c r="E23" s="21">
        <f t="shared" si="5"/>
        <v>0.12669052906170256</v>
      </c>
      <c r="F23" s="21">
        <f t="shared" si="6"/>
        <v>0.1779058493206887</v>
      </c>
      <c r="G23" s="21">
        <f t="shared" si="0"/>
        <v>0.11995167113288858</v>
      </c>
      <c r="H23" s="21">
        <f t="shared" si="7"/>
        <v>1.7037452700893574E-2</v>
      </c>
      <c r="I23" s="21">
        <f t="shared" si="8"/>
        <v>9.2582466021107722E-3</v>
      </c>
      <c r="J23" s="23">
        <f t="shared" si="1"/>
        <v>5.9975835566444292E-3</v>
      </c>
      <c r="K23" s="132">
        <f t="shared" si="2"/>
        <v>0.15224495399253735</v>
      </c>
      <c r="L23" s="134">
        <f t="shared" si="3"/>
        <v>0.10720281385717995</v>
      </c>
    </row>
    <row r="24" spans="2:14" x14ac:dyDescent="0.25">
      <c r="B24" s="259"/>
      <c r="C24" s="20">
        <v>2025</v>
      </c>
      <c r="D24" s="21">
        <f t="shared" si="4"/>
        <v>9.2073015881385209E-2</v>
      </c>
      <c r="E24" s="21">
        <f t="shared" si="5"/>
        <v>0.13315174604384938</v>
      </c>
      <c r="F24" s="21">
        <f t="shared" si="6"/>
        <v>0.18697904763604381</v>
      </c>
      <c r="G24" s="21">
        <f t="shared" si="0"/>
        <v>0.1260692063606659</v>
      </c>
      <c r="H24" s="21">
        <f t="shared" si="7"/>
        <v>1.7412276660313232E-2</v>
      </c>
      <c r="I24" s="21">
        <f t="shared" si="8"/>
        <v>9.4619280273572099E-3</v>
      </c>
      <c r="J24" s="23">
        <f t="shared" si="1"/>
        <v>6.3034603180332953E-3</v>
      </c>
      <c r="K24" s="132">
        <f t="shared" si="2"/>
        <v>0.15924687136636964</v>
      </c>
      <c r="L24" s="134">
        <f t="shared" si="3"/>
        <v>0.10827484199575174</v>
      </c>
    </row>
    <row r="25" spans="2:14" x14ac:dyDescent="0.25">
      <c r="B25" s="259"/>
      <c r="C25" s="20">
        <v>2026</v>
      </c>
      <c r="D25" s="21">
        <f t="shared" si="4"/>
        <v>9.6768739691335842E-2</v>
      </c>
      <c r="E25" s="21">
        <f t="shared" si="5"/>
        <v>0.13994248509208571</v>
      </c>
      <c r="F25" s="21">
        <f t="shared" si="6"/>
        <v>0.19651497906548204</v>
      </c>
      <c r="G25" s="21">
        <f t="shared" si="0"/>
        <v>0.13249873588505984</v>
      </c>
      <c r="H25" s="21">
        <f t="shared" si="7"/>
        <v>1.7795346746840125E-2</v>
      </c>
      <c r="I25" s="21">
        <f t="shared" si="8"/>
        <v>9.6700904439590684E-3</v>
      </c>
      <c r="J25" s="23">
        <f t="shared" si="1"/>
        <v>6.624936794252992E-3</v>
      </c>
      <c r="K25" s="132">
        <f t="shared" si="2"/>
        <v>0.16658910987011202</v>
      </c>
      <c r="L25" s="134">
        <f t="shared" si="3"/>
        <v>0.10935759041570926</v>
      </c>
    </row>
    <row r="26" spans="2:14" x14ac:dyDescent="0.25">
      <c r="B26" s="259"/>
      <c r="C26" s="20">
        <v>2027</v>
      </c>
      <c r="D26" s="21">
        <f t="shared" si="4"/>
        <v>0.10170394541559397</v>
      </c>
      <c r="E26" s="21">
        <f t="shared" si="5"/>
        <v>0.14707955183178206</v>
      </c>
      <c r="F26" s="21">
        <f t="shared" si="6"/>
        <v>0.20653724299782161</v>
      </c>
      <c r="G26" s="21">
        <f t="shared" si="0"/>
        <v>0.13925617141519792</v>
      </c>
      <c r="H26" s="21">
        <f t="shared" si="7"/>
        <v>1.8186844375270607E-2</v>
      </c>
      <c r="I26" s="21">
        <f t="shared" si="8"/>
        <v>9.8828324337261689E-3</v>
      </c>
      <c r="J26" s="23">
        <f t="shared" si="1"/>
        <v>6.962808570759896E-3</v>
      </c>
      <c r="K26" s="132">
        <f t="shared" si="2"/>
        <v>0.17428865679495459</v>
      </c>
      <c r="L26" s="134">
        <f t="shared" si="3"/>
        <v>0.11045116631986636</v>
      </c>
    </row>
    <row r="27" spans="2:14" x14ac:dyDescent="0.25">
      <c r="B27" s="259"/>
      <c r="C27" s="20">
        <v>2028</v>
      </c>
      <c r="D27" s="21">
        <f t="shared" si="4"/>
        <v>0.10689084663178926</v>
      </c>
      <c r="E27" s="21">
        <f t="shared" si="5"/>
        <v>0.15458060897520293</v>
      </c>
      <c r="F27" s="21">
        <f t="shared" si="6"/>
        <v>0.2170706423907105</v>
      </c>
      <c r="G27" s="21">
        <f t="shared" si="0"/>
        <v>0.14635823615737298</v>
      </c>
      <c r="H27" s="21">
        <f t="shared" si="7"/>
        <v>1.8586954951526562E-2</v>
      </c>
      <c r="I27" s="21">
        <f t="shared" si="8"/>
        <v>1.0100254747268144E-2</v>
      </c>
      <c r="J27" s="23">
        <f t="shared" si="1"/>
        <v>7.3179118078686494E-3</v>
      </c>
      <c r="K27" s="132">
        <f t="shared" si="2"/>
        <v>0.18236335766403633</v>
      </c>
      <c r="L27" s="134">
        <f t="shared" si="3"/>
        <v>0.11155567798306502</v>
      </c>
    </row>
    <row r="28" spans="2:14" x14ac:dyDescent="0.25">
      <c r="B28" s="259"/>
      <c r="C28" s="20">
        <v>2029</v>
      </c>
      <c r="D28" s="21">
        <f t="shared" si="4"/>
        <v>0.11234227981001051</v>
      </c>
      <c r="E28" s="21">
        <f t="shared" si="5"/>
        <v>0.16246422003293826</v>
      </c>
      <c r="F28" s="21">
        <f t="shared" si="6"/>
        <v>0.22814124515263673</v>
      </c>
      <c r="G28" s="21">
        <f t="shared" si="0"/>
        <v>0.15382250620139898</v>
      </c>
      <c r="H28" s="21">
        <f t="shared" si="7"/>
        <v>1.8995867960460145E-2</v>
      </c>
      <c r="I28" s="21">
        <f t="shared" si="8"/>
        <v>1.0322460351708043E-2</v>
      </c>
      <c r="J28" s="23">
        <f t="shared" si="1"/>
        <v>7.6911253100699489E-3</v>
      </c>
      <c r="K28" s="132">
        <f t="shared" si="2"/>
        <v>0.1908319598236371</v>
      </c>
      <c r="L28" s="134">
        <f t="shared" si="3"/>
        <v>0.11267123476289567</v>
      </c>
    </row>
    <row r="29" spans="2:14" x14ac:dyDescent="0.25">
      <c r="B29" s="259"/>
      <c r="C29" s="20">
        <v>2030</v>
      </c>
      <c r="D29" s="21">
        <f t="shared" si="4"/>
        <v>0.11807173608032104</v>
      </c>
      <c r="E29" s="21">
        <f t="shared" si="5"/>
        <v>0.17074989525461809</v>
      </c>
      <c r="F29" s="21">
        <f t="shared" si="6"/>
        <v>0.23977644865542119</v>
      </c>
      <c r="G29" s="21">
        <f t="shared" si="0"/>
        <v>0.16166745401767035</v>
      </c>
      <c r="H29" s="21">
        <f t="shared" si="7"/>
        <v>1.9413777055590269E-2</v>
      </c>
      <c r="I29" s="21">
        <f t="shared" si="8"/>
        <v>1.054955447944562E-2</v>
      </c>
      <c r="J29" s="23">
        <f t="shared" si="1"/>
        <v>8.083372700883518E-3</v>
      </c>
      <c r="K29" s="132">
        <f t="shared" si="2"/>
        <v>0.19971415825358976</v>
      </c>
      <c r="L29" s="134">
        <f t="shared" si="3"/>
        <v>0.11379794711052463</v>
      </c>
    </row>
    <row r="30" spans="2:14" x14ac:dyDescent="0.25">
      <c r="B30" s="259"/>
      <c r="C30" s="20">
        <v>2031</v>
      </c>
      <c r="D30" s="21">
        <f t="shared" si="4"/>
        <v>0.12409339462041741</v>
      </c>
      <c r="E30" s="21">
        <f t="shared" si="5"/>
        <v>0.17945813991260359</v>
      </c>
      <c r="F30" s="21">
        <f t="shared" si="6"/>
        <v>0.25200504753684766</v>
      </c>
      <c r="G30" s="21">
        <f t="shared" si="0"/>
        <v>0.16991249417257154</v>
      </c>
      <c r="H30" s="21">
        <f t="shared" si="7"/>
        <v>1.9840880150813256E-2</v>
      </c>
      <c r="I30" s="21">
        <f t="shared" si="8"/>
        <v>1.0781644677993424E-2</v>
      </c>
      <c r="J30" s="23">
        <f t="shared" si="1"/>
        <v>8.4956247086285779E-3</v>
      </c>
      <c r="K30" s="132">
        <f t="shared" si="2"/>
        <v>0.20903064371000679</v>
      </c>
      <c r="L30" s="134">
        <f t="shared" si="3"/>
        <v>0.11493592658162988</v>
      </c>
    </row>
    <row r="31" spans="2:14" x14ac:dyDescent="0.25">
      <c r="B31" s="259"/>
      <c r="C31" s="20">
        <v>2032</v>
      </c>
      <c r="D31" s="21">
        <f t="shared" si="4"/>
        <v>0.1304221577460587</v>
      </c>
      <c r="E31" s="21">
        <f t="shared" si="5"/>
        <v>0.18861050504814636</v>
      </c>
      <c r="F31" s="21">
        <f t="shared" si="6"/>
        <v>0.26485730496122689</v>
      </c>
      <c r="G31" s="21">
        <f t="shared" si="0"/>
        <v>0.17857803137537265</v>
      </c>
      <c r="H31" s="21">
        <f t="shared" si="7"/>
        <v>2.0277379514131149E-2</v>
      </c>
      <c r="I31" s="21">
        <f t="shared" si="8"/>
        <v>1.101884086090928E-2</v>
      </c>
      <c r="J31" s="23">
        <f t="shared" si="1"/>
        <v>8.9289015687686324E-3</v>
      </c>
      <c r="K31" s="132">
        <f t="shared" si="2"/>
        <v>0.21880315331918171</v>
      </c>
      <c r="L31" s="134">
        <f t="shared" si="3"/>
        <v>0.11608528584744618</v>
      </c>
    </row>
    <row r="32" spans="2:14" x14ac:dyDescent="0.25">
      <c r="B32" s="259"/>
      <c r="C32" s="20">
        <v>2033</v>
      </c>
      <c r="D32" s="21">
        <f t="shared" si="4"/>
        <v>0.13707368779110768</v>
      </c>
      <c r="E32" s="21">
        <f t="shared" si="5"/>
        <v>0.19822964080560182</v>
      </c>
      <c r="F32" s="21">
        <f t="shared" si="6"/>
        <v>0.27836502751424946</v>
      </c>
      <c r="G32" s="21">
        <f t="shared" si="0"/>
        <v>0.18768551097551667</v>
      </c>
      <c r="H32" s="21">
        <f t="shared" si="7"/>
        <v>2.0723481863442035E-2</v>
      </c>
      <c r="I32" s="21">
        <f t="shared" si="8"/>
        <v>1.1261255359849284E-2</v>
      </c>
      <c r="J32" s="23">
        <f t="shared" si="1"/>
        <v>9.3842755487758348E-3</v>
      </c>
      <c r="K32" s="132">
        <f t="shared" si="2"/>
        <v>0.22905452374758384</v>
      </c>
      <c r="L32" s="134">
        <f t="shared" si="3"/>
        <v>0.11724613870592064</v>
      </c>
    </row>
    <row r="33" spans="2:14" x14ac:dyDescent="0.25">
      <c r="B33" s="259"/>
      <c r="C33" s="20">
        <v>2034</v>
      </c>
      <c r="D33" s="21">
        <f t="shared" si="4"/>
        <v>0.14406444586845416</v>
      </c>
      <c r="E33" s="21">
        <f t="shared" si="5"/>
        <v>0.2083393524866875</v>
      </c>
      <c r="F33" s="21">
        <f t="shared" si="6"/>
        <v>0.29256164391747619</v>
      </c>
      <c r="G33" s="21">
        <f t="shared" si="0"/>
        <v>0.197257472035268</v>
      </c>
      <c r="H33" s="21">
        <f t="shared" si="7"/>
        <v>2.1179398464437761E-2</v>
      </c>
      <c r="I33" s="21">
        <f t="shared" si="8"/>
        <v>1.1509002977765968E-2</v>
      </c>
      <c r="J33" s="23">
        <f t="shared" si="1"/>
        <v>9.8628736017634007E-3</v>
      </c>
      <c r="K33" s="132">
        <f t="shared" si="2"/>
        <v>0.23980874707923514</v>
      </c>
      <c r="L33" s="134">
        <f t="shared" si="3"/>
        <v>0.11841860009297984</v>
      </c>
    </row>
    <row r="34" spans="2:14" x14ac:dyDescent="0.25">
      <c r="B34" s="259"/>
      <c r="C34" s="20">
        <v>2035</v>
      </c>
      <c r="D34" s="21">
        <f t="shared" si="4"/>
        <v>0.15141173260774532</v>
      </c>
      <c r="E34" s="21">
        <f t="shared" si="5"/>
        <v>0.21896465946350854</v>
      </c>
      <c r="F34" s="21">
        <f t="shared" si="6"/>
        <v>0.30748228775726744</v>
      </c>
      <c r="G34" s="21">
        <f t="shared" si="0"/>
        <v>0.20731760310906666</v>
      </c>
      <c r="H34" s="21">
        <f t="shared" si="7"/>
        <v>2.1645345230655394E-2</v>
      </c>
      <c r="I34" s="21">
        <f t="shared" si="8"/>
        <v>1.176220104327682E-2</v>
      </c>
      <c r="J34" s="23">
        <f t="shared" si="1"/>
        <v>1.0365880155453333E-2</v>
      </c>
      <c r="K34" s="132">
        <f t="shared" si="2"/>
        <v>0.25109102953845219</v>
      </c>
      <c r="L34" s="134">
        <f t="shared" si="3"/>
        <v>0.11960278609390965</v>
      </c>
    </row>
    <row r="35" spans="2:14" x14ac:dyDescent="0.25">
      <c r="B35" s="259"/>
      <c r="C35" s="20">
        <v>2036</v>
      </c>
      <c r="D35" s="21">
        <f t="shared" si="4"/>
        <v>0.15913373097074032</v>
      </c>
      <c r="E35" s="21">
        <f t="shared" si="5"/>
        <v>0.23013185709614747</v>
      </c>
      <c r="F35" s="21">
        <f t="shared" si="6"/>
        <v>0.32316388443288807</v>
      </c>
      <c r="G35" s="21">
        <f t="shared" si="0"/>
        <v>0.21789080086762908</v>
      </c>
      <c r="H35" s="21">
        <f t="shared" si="7"/>
        <v>2.2121542825729812E-2</v>
      </c>
      <c r="I35" s="21">
        <f t="shared" si="8"/>
        <v>1.2020969466228909E-2</v>
      </c>
      <c r="J35" s="23">
        <f t="shared" si="1"/>
        <v>1.0894540043381454E-2</v>
      </c>
      <c r="K35" s="132">
        <f t="shared" si="2"/>
        <v>0.26292785320296924</v>
      </c>
      <c r="L35" s="134">
        <f t="shared" si="3"/>
        <v>0.12079881395484875</v>
      </c>
      <c r="N35" s="8"/>
    </row>
    <row r="36" spans="2:14" x14ac:dyDescent="0.25">
      <c r="B36" s="259"/>
      <c r="C36" s="20">
        <v>2037</v>
      </c>
      <c r="D36" s="21">
        <f t="shared" si="4"/>
        <v>0.16724955125024807</v>
      </c>
      <c r="E36" s="21">
        <f t="shared" si="5"/>
        <v>0.24186858180805099</v>
      </c>
      <c r="F36" s="21">
        <f t="shared" si="6"/>
        <v>0.33964524253896533</v>
      </c>
      <c r="G36" s="21">
        <f t="shared" si="0"/>
        <v>0.22900323171187811</v>
      </c>
      <c r="H36" s="21">
        <f t="shared" si="7"/>
        <v>2.2608216767895869E-2</v>
      </c>
      <c r="I36" s="21">
        <f t="shared" si="8"/>
        <v>1.2285430794485946E-2</v>
      </c>
      <c r="J36" s="23">
        <f t="shared" si="1"/>
        <v>1.1450161585593907E-2</v>
      </c>
      <c r="K36" s="132">
        <f t="shared" si="2"/>
        <v>0.27534704085985384</v>
      </c>
      <c r="L36" s="134">
        <f t="shared" si="3"/>
        <v>0.12200680209439724</v>
      </c>
    </row>
    <row r="37" spans="2:14" x14ac:dyDescent="0.25">
      <c r="B37" s="259"/>
      <c r="C37" s="36">
        <v>2038</v>
      </c>
      <c r="D37" s="37">
        <f t="shared" si="4"/>
        <v>0.17577927836401072</v>
      </c>
      <c r="E37" s="37">
        <f t="shared" si="5"/>
        <v>0.25420387948026157</v>
      </c>
      <c r="F37" s="37">
        <f t="shared" si="6"/>
        <v>0.35696714990845252</v>
      </c>
      <c r="G37" s="37">
        <f t="shared" ref="G37:G57" si="9">D37*$O$3+E37*$O$4+F37*$O$5</f>
        <v>0.24068239652918388</v>
      </c>
      <c r="H37" s="37">
        <f t="shared" si="7"/>
        <v>2.310559753678958E-2</v>
      </c>
      <c r="I37" s="37">
        <f t="shared" si="8"/>
        <v>1.2555710271964636E-2</v>
      </c>
      <c r="J37" s="38">
        <f t="shared" si="1"/>
        <v>1.2034119826459196E-2</v>
      </c>
      <c r="K37" s="133">
        <f t="shared" si="2"/>
        <v>0.28837782416439728</v>
      </c>
      <c r="L37" s="134">
        <f t="shared" si="3"/>
        <v>0.12322687011534121</v>
      </c>
    </row>
    <row r="38" spans="2:14" x14ac:dyDescent="0.25">
      <c r="B38" s="259"/>
      <c r="C38" s="20">
        <v>2039</v>
      </c>
      <c r="D38" s="21">
        <f t="shared" si="4"/>
        <v>0.18474402156057526</v>
      </c>
      <c r="E38" s="21">
        <f t="shared" si="5"/>
        <v>0.26716827733375492</v>
      </c>
      <c r="F38" s="21">
        <f t="shared" si="6"/>
        <v>0.37517247455378355</v>
      </c>
      <c r="G38" s="21">
        <f t="shared" si="9"/>
        <v>0.25295719875217226</v>
      </c>
      <c r="H38" s="21">
        <f t="shared" si="7"/>
        <v>2.361392068259895E-2</v>
      </c>
      <c r="I38" s="21">
        <f t="shared" si="8"/>
        <v>1.2831935897947858E-2</v>
      </c>
      <c r="J38" s="23">
        <f t="shared" si="1"/>
        <v>1.2647859937608613E-2</v>
      </c>
      <c r="K38" s="132">
        <f t="shared" si="2"/>
        <v>0.30205091527032768</v>
      </c>
      <c r="L38" s="134">
        <f t="shared" si="3"/>
        <v>0.12445913881649462</v>
      </c>
    </row>
    <row r="39" spans="2:14" x14ac:dyDescent="0.25">
      <c r="B39" s="259"/>
      <c r="C39" s="20">
        <v>2040</v>
      </c>
      <c r="D39" s="21">
        <f t="shared" si="4"/>
        <v>0.19416596666016459</v>
      </c>
      <c r="E39" s="21">
        <f t="shared" si="5"/>
        <v>0.28079385947777641</v>
      </c>
      <c r="F39" s="21">
        <f t="shared" si="6"/>
        <v>0.39430627075602648</v>
      </c>
      <c r="G39" s="21">
        <f t="shared" si="9"/>
        <v>0.26585801588853303</v>
      </c>
      <c r="H39" s="21">
        <f t="shared" si="7"/>
        <v>2.4133426937616127E-2</v>
      </c>
      <c r="I39" s="21">
        <f t="shared" si="8"/>
        <v>1.311423848770271E-2</v>
      </c>
      <c r="J39" s="23">
        <f t="shared" si="1"/>
        <v>1.3292900794426653E-2</v>
      </c>
      <c r="K39" s="132">
        <f t="shared" si="2"/>
        <v>0.31639858210827854</v>
      </c>
      <c r="L39" s="134">
        <f t="shared" si="3"/>
        <v>0.12570373020465955</v>
      </c>
    </row>
    <row r="40" spans="2:14" x14ac:dyDescent="0.25">
      <c r="B40" s="259"/>
      <c r="C40" s="20">
        <v>2041</v>
      </c>
      <c r="D40" s="21">
        <f t="shared" si="4"/>
        <v>0.20406843095983296</v>
      </c>
      <c r="E40" s="21">
        <f t="shared" si="5"/>
        <v>0.29511434631114297</v>
      </c>
      <c r="F40" s="21">
        <f t="shared" si="6"/>
        <v>0.41441589056458378</v>
      </c>
      <c r="G40" s="21">
        <f t="shared" si="9"/>
        <v>0.27941677469884818</v>
      </c>
      <c r="H40" s="21">
        <f t="shared" si="7"/>
        <v>2.4664362330243682E-2</v>
      </c>
      <c r="I40" s="21">
        <f t="shared" si="8"/>
        <v>1.3402751734432171E-2</v>
      </c>
      <c r="J40" s="23">
        <f t="shared" si="1"/>
        <v>1.397083873494241E-2</v>
      </c>
      <c r="K40" s="132">
        <f t="shared" si="2"/>
        <v>0.33145472749846644</v>
      </c>
      <c r="L40" s="134">
        <f t="shared" si="3"/>
        <v>0.12696076750670615</v>
      </c>
    </row>
    <row r="41" spans="2:14" x14ac:dyDescent="0.25">
      <c r="B41" s="259"/>
      <c r="C41" s="20">
        <v>2042</v>
      </c>
      <c r="D41" s="21">
        <f t="shared" si="4"/>
        <v>0.21447592093878443</v>
      </c>
      <c r="E41" s="21">
        <f t="shared" si="5"/>
        <v>0.31016517797301124</v>
      </c>
      <c r="F41" s="21">
        <f t="shared" si="6"/>
        <v>0.43555110098337751</v>
      </c>
      <c r="G41" s="21">
        <f t="shared" si="9"/>
        <v>0.29366703020848939</v>
      </c>
      <c r="H41" s="21">
        <f t="shared" si="7"/>
        <v>2.5206978301509045E-2</v>
      </c>
      <c r="I41" s="21">
        <f t="shared" si="8"/>
        <v>1.3697612272589678E-2</v>
      </c>
      <c r="J41" s="23">
        <f t="shared" si="1"/>
        <v>1.4683351510424471E-2</v>
      </c>
      <c r="K41" s="132">
        <f t="shared" si="2"/>
        <v>0.34725497229301261</v>
      </c>
      <c r="L41" s="134">
        <f t="shared" si="3"/>
        <v>0.12823037518177322</v>
      </c>
    </row>
    <row r="42" spans="2:14" x14ac:dyDescent="0.25">
      <c r="B42" s="259"/>
      <c r="C42" s="20">
        <v>2043</v>
      </c>
      <c r="D42" s="21">
        <f t="shared" si="4"/>
        <v>0.22541419290666243</v>
      </c>
      <c r="E42" s="21">
        <f t="shared" si="5"/>
        <v>0.32598360204963478</v>
      </c>
      <c r="F42" s="21">
        <f t="shared" si="6"/>
        <v>0.45776420713352972</v>
      </c>
      <c r="G42" s="21">
        <f t="shared" si="9"/>
        <v>0.30864404874912232</v>
      </c>
      <c r="H42" s="21">
        <f t="shared" si="7"/>
        <v>2.5761531824142245E-2</v>
      </c>
      <c r="I42" s="21">
        <f t="shared" si="8"/>
        <v>1.399895974258665E-2</v>
      </c>
      <c r="J42" s="23">
        <f t="shared" si="1"/>
        <v>1.5432202437456117E-2</v>
      </c>
      <c r="K42" s="132">
        <f t="shared" si="2"/>
        <v>0.36383674275330735</v>
      </c>
      <c r="L42" s="134">
        <f t="shared" si="3"/>
        <v>0.12951267893359095</v>
      </c>
    </row>
    <row r="43" spans="2:14" x14ac:dyDescent="0.25">
      <c r="B43" s="259"/>
      <c r="C43" s="20">
        <v>2044</v>
      </c>
      <c r="D43" s="21">
        <f t="shared" si="4"/>
        <v>0.23691031674490221</v>
      </c>
      <c r="E43" s="21">
        <f t="shared" si="5"/>
        <v>0.34260876575416616</v>
      </c>
      <c r="F43" s="21">
        <f t="shared" si="6"/>
        <v>0.48111018169733971</v>
      </c>
      <c r="G43" s="21">
        <f t="shared" si="9"/>
        <v>0.3243848952353276</v>
      </c>
      <c r="H43" s="21">
        <f t="shared" si="7"/>
        <v>2.6328285524273375E-2</v>
      </c>
      <c r="I43" s="21">
        <f t="shared" si="8"/>
        <v>1.4306936856923557E-2</v>
      </c>
      <c r="J43" s="23">
        <f t="shared" si="1"/>
        <v>1.621924476176638E-2</v>
      </c>
      <c r="K43" s="132">
        <f t="shared" si="2"/>
        <v>0.38123936237829092</v>
      </c>
      <c r="L43" s="134">
        <f t="shared" si="3"/>
        <v>0.13080780572292686</v>
      </c>
    </row>
    <row r="44" spans="2:14" x14ac:dyDescent="0.25">
      <c r="B44" s="259"/>
      <c r="C44" s="20">
        <v>2045</v>
      </c>
      <c r="D44" s="21">
        <f t="shared" si="4"/>
        <v>0.2489927428988922</v>
      </c>
      <c r="E44" s="21">
        <f t="shared" si="5"/>
        <v>0.36008181280762863</v>
      </c>
      <c r="F44" s="21">
        <f t="shared" si="6"/>
        <v>0.50564680096390402</v>
      </c>
      <c r="G44" s="21">
        <f t="shared" si="9"/>
        <v>0.34092852489232928</v>
      </c>
      <c r="H44" s="21">
        <f t="shared" si="7"/>
        <v>2.690750780580739E-2</v>
      </c>
      <c r="I44" s="21">
        <f t="shared" si="8"/>
        <v>1.4621689467775876E-2</v>
      </c>
      <c r="J44" s="23">
        <f t="shared" si="1"/>
        <v>1.7046426244616466E-2</v>
      </c>
      <c r="K44" s="132">
        <f t="shared" si="2"/>
        <v>0.399504148410529</v>
      </c>
      <c r="L44" s="134">
        <f t="shared" si="3"/>
        <v>0.13211588378015612</v>
      </c>
    </row>
    <row r="45" spans="2:14" x14ac:dyDescent="0.25">
      <c r="B45" s="259"/>
      <c r="C45" s="20">
        <v>2046</v>
      </c>
      <c r="D45" s="21">
        <f t="shared" si="4"/>
        <v>0.26169137278673571</v>
      </c>
      <c r="E45" s="21">
        <f t="shared" si="5"/>
        <v>0.37844598526081769</v>
      </c>
      <c r="F45" s="21">
        <f t="shared" si="6"/>
        <v>0.53143478781306308</v>
      </c>
      <c r="G45" s="21">
        <f t="shared" si="9"/>
        <v>0.35831587966183809</v>
      </c>
      <c r="H45" s="21">
        <f t="shared" si="7"/>
        <v>2.7499472977535154E-2</v>
      </c>
      <c r="I45" s="21">
        <f t="shared" si="8"/>
        <v>1.4943366636066945E-2</v>
      </c>
      <c r="J45" s="23">
        <f t="shared" si="1"/>
        <v>1.7915793983091906E-2</v>
      </c>
      <c r="K45" s="132">
        <f t="shared" si="2"/>
        <v>0.41867451325853211</v>
      </c>
      <c r="L45" s="134">
        <f t="shared" si="3"/>
        <v>0.13343704261795769</v>
      </c>
    </row>
    <row r="46" spans="2:14" x14ac:dyDescent="0.25">
      <c r="B46" s="259"/>
      <c r="C46" s="20">
        <v>2047</v>
      </c>
      <c r="D46" s="21">
        <f t="shared" si="4"/>
        <v>0.27503763279885923</v>
      </c>
      <c r="E46" s="21">
        <f t="shared" si="5"/>
        <v>0.39774673050911935</v>
      </c>
      <c r="F46" s="21">
        <f t="shared" si="6"/>
        <v>0.55853796199152927</v>
      </c>
      <c r="G46" s="21">
        <f t="shared" si="9"/>
        <v>0.37658998952459177</v>
      </c>
      <c r="H46" s="21">
        <f t="shared" si="7"/>
        <v>2.810446138304093E-2</v>
      </c>
      <c r="I46" s="21">
        <f t="shared" si="8"/>
        <v>1.5272120702060419E-2</v>
      </c>
      <c r="J46" s="23">
        <f t="shared" si="1"/>
        <v>1.882949947622959E-2</v>
      </c>
      <c r="K46" s="132">
        <f t="shared" si="2"/>
        <v>0.43879607108592272</v>
      </c>
      <c r="L46" s="134">
        <f t="shared" si="3"/>
        <v>0.13477141304413726</v>
      </c>
    </row>
    <row r="47" spans="2:14" x14ac:dyDescent="0.25">
      <c r="B47" s="259"/>
      <c r="C47" s="20">
        <v>2048</v>
      </c>
      <c r="D47" s="21">
        <f t="shared" si="4"/>
        <v>0.28906455207160103</v>
      </c>
      <c r="E47" s="21">
        <f t="shared" si="5"/>
        <v>0.41803181376508441</v>
      </c>
      <c r="F47" s="21">
        <f t="shared" si="6"/>
        <v>0.58702339805309722</v>
      </c>
      <c r="G47" s="21">
        <f t="shared" si="9"/>
        <v>0.39579607899034591</v>
      </c>
      <c r="H47" s="21">
        <f t="shared" si="7"/>
        <v>2.8722759533467829E-2</v>
      </c>
      <c r="I47" s="21">
        <f t="shared" si="8"/>
        <v>1.5608107357505748E-2</v>
      </c>
      <c r="J47" s="23">
        <f t="shared" si="1"/>
        <v>1.9789803949517296E-2</v>
      </c>
      <c r="K47" s="132">
        <f t="shared" si="2"/>
        <v>0.4599167498308368</v>
      </c>
      <c r="L47" s="134">
        <f t="shared" si="3"/>
        <v>0.13611912717457864</v>
      </c>
    </row>
    <row r="48" spans="2:14" x14ac:dyDescent="0.25">
      <c r="B48" s="259"/>
      <c r="C48" s="20">
        <v>2049</v>
      </c>
      <c r="D48" s="21">
        <f t="shared" si="4"/>
        <v>0.30380684422725268</v>
      </c>
      <c r="E48" s="21">
        <f t="shared" si="5"/>
        <v>0.43935143626710371</v>
      </c>
      <c r="F48" s="21">
        <f t="shared" si="6"/>
        <v>0.61696159135380513</v>
      </c>
      <c r="G48" s="21">
        <f t="shared" si="9"/>
        <v>0.41598167901885358</v>
      </c>
      <c r="H48" s="21">
        <f t="shared" si="7"/>
        <v>2.9354660243204121E-2</v>
      </c>
      <c r="I48" s="21">
        <f t="shared" si="8"/>
        <v>1.5951485719370877E-2</v>
      </c>
      <c r="J48" s="23">
        <f t="shared" si="1"/>
        <v>2.0799083950942682E-2</v>
      </c>
      <c r="K48" s="132">
        <f t="shared" si="2"/>
        <v>0.48208690893237127</v>
      </c>
      <c r="L48" s="134">
        <f t="shared" si="3"/>
        <v>0.13748031844632441</v>
      </c>
    </row>
    <row r="49" spans="2:12" x14ac:dyDescent="0.25">
      <c r="B49" s="259"/>
      <c r="C49" s="20">
        <v>2050</v>
      </c>
      <c r="D49" s="21">
        <f t="shared" si="4"/>
        <v>0.31930099328284256</v>
      </c>
      <c r="E49" s="21">
        <f t="shared" si="5"/>
        <v>0.46175835951672595</v>
      </c>
      <c r="F49" s="21">
        <f t="shared" si="6"/>
        <v>0.64842663251284915</v>
      </c>
      <c r="G49" s="21">
        <f t="shared" si="9"/>
        <v>0.43719674464881503</v>
      </c>
      <c r="H49" s="21">
        <f t="shared" si="7"/>
        <v>3.0000462768554611E-2</v>
      </c>
      <c r="I49" s="21">
        <f t="shared" si="8"/>
        <v>1.6302418405197035E-2</v>
      </c>
      <c r="J49" s="23">
        <f t="shared" si="1"/>
        <v>2.1859837232440754E-2</v>
      </c>
      <c r="K49" s="132">
        <f t="shared" si="2"/>
        <v>0.50535946305500745</v>
      </c>
      <c r="L49" s="134">
        <f t="shared" si="3"/>
        <v>0.13885512163078767</v>
      </c>
    </row>
    <row r="50" spans="2:12" x14ac:dyDescent="0.25">
      <c r="B50" s="259"/>
      <c r="C50" s="20">
        <v>2051</v>
      </c>
      <c r="D50" s="21">
        <f t="shared" si="4"/>
        <v>0.33558534394026751</v>
      </c>
      <c r="E50" s="21">
        <f t="shared" si="5"/>
        <v>0.48530803585207893</v>
      </c>
      <c r="F50" s="21">
        <f t="shared" si="6"/>
        <v>0.68149639077100443</v>
      </c>
      <c r="G50" s="21">
        <f t="shared" si="9"/>
        <v>0.45949377862590457</v>
      </c>
      <c r="H50" s="21">
        <f t="shared" si="7"/>
        <v>3.0660472949462812E-2</v>
      </c>
      <c r="I50" s="21">
        <f t="shared" si="8"/>
        <v>1.6661071610111371E-2</v>
      </c>
      <c r="J50" s="23">
        <f t="shared" si="1"/>
        <v>2.2974688931295228E-2</v>
      </c>
      <c r="K50" s="132">
        <f t="shared" si="2"/>
        <v>0.52979001211677401</v>
      </c>
      <c r="L50" s="134">
        <f t="shared" si="3"/>
        <v>0.14024367284709555</v>
      </c>
    </row>
    <row r="51" spans="2:12" x14ac:dyDescent="0.25">
      <c r="B51" s="259"/>
      <c r="C51" s="20">
        <v>2052</v>
      </c>
      <c r="D51" s="21">
        <f t="shared" si="4"/>
        <v>0.35270019648122114</v>
      </c>
      <c r="E51" s="21">
        <f t="shared" si="5"/>
        <v>0.51005874568053489</v>
      </c>
      <c r="F51" s="21">
        <f t="shared" si="6"/>
        <v>0.71625270670032559</v>
      </c>
      <c r="G51" s="21">
        <f t="shared" si="9"/>
        <v>0.48292796133582572</v>
      </c>
      <c r="H51" s="21">
        <f t="shared" si="7"/>
        <v>3.1335003354350993E-2</v>
      </c>
      <c r="I51" s="21">
        <f t="shared" si="8"/>
        <v>1.702761518553382E-2</v>
      </c>
      <c r="J51" s="23">
        <f t="shared" si="1"/>
        <v>2.4146398066791287E-2</v>
      </c>
      <c r="K51" s="132">
        <f t="shared" si="2"/>
        <v>0.5554369779425018</v>
      </c>
      <c r="L51" s="134">
        <f t="shared" si="3"/>
        <v>0.1416461095755665</v>
      </c>
    </row>
    <row r="52" spans="2:12" x14ac:dyDescent="0.25">
      <c r="B52" s="259"/>
      <c r="C52" s="20">
        <v>2053</v>
      </c>
      <c r="D52" s="21">
        <f t="shared" si="4"/>
        <v>0.37068790650176342</v>
      </c>
      <c r="E52" s="21">
        <f t="shared" si="5"/>
        <v>0.53607174171024208</v>
      </c>
      <c r="F52" s="21">
        <f t="shared" si="6"/>
        <v>0.7527815947420422</v>
      </c>
      <c r="G52" s="21">
        <f t="shared" si="9"/>
        <v>0.50755728736395278</v>
      </c>
      <c r="H52" s="21">
        <f t="shared" si="7"/>
        <v>3.2024373428146714E-2</v>
      </c>
      <c r="I52" s="21">
        <f t="shared" si="8"/>
        <v>1.7402222719615563E-2</v>
      </c>
      <c r="J52" s="23">
        <f t="shared" si="1"/>
        <v>2.5377864368197639E-2</v>
      </c>
      <c r="K52" s="132">
        <f t="shared" si="2"/>
        <v>0.58236174787991268</v>
      </c>
      <c r="L52" s="134">
        <f t="shared" si="3"/>
        <v>0.14306257067132216</v>
      </c>
    </row>
    <row r="53" spans="2:12" x14ac:dyDescent="0.25">
      <c r="B53" s="259"/>
      <c r="C53" s="20">
        <v>2054</v>
      </c>
      <c r="D53" s="21">
        <f t="shared" si="4"/>
        <v>0.38959298973335332</v>
      </c>
      <c r="E53" s="21">
        <f t="shared" si="5"/>
        <v>0.56341140053746441</v>
      </c>
      <c r="F53" s="21">
        <f t="shared" si="6"/>
        <v>0.79117345607388634</v>
      </c>
      <c r="G53" s="21">
        <f t="shared" si="9"/>
        <v>0.5334427090195144</v>
      </c>
      <c r="H53" s="21">
        <f t="shared" si="7"/>
        <v>3.2728909643565944E-2</v>
      </c>
      <c r="I53" s="21">
        <f t="shared" si="8"/>
        <v>1.7785071619447108E-2</v>
      </c>
      <c r="J53" s="23">
        <f t="shared" si="1"/>
        <v>2.6672135450975722E-2</v>
      </c>
      <c r="K53" s="132">
        <f t="shared" si="2"/>
        <v>0.61062882573350319</v>
      </c>
      <c r="L53" s="134">
        <f t="shared" si="3"/>
        <v>0.1444931963780354</v>
      </c>
    </row>
    <row r="54" spans="2:12" x14ac:dyDescent="0.25">
      <c r="B54" s="259"/>
      <c r="C54" s="20">
        <v>2055</v>
      </c>
      <c r="D54" s="21">
        <f t="shared" si="4"/>
        <v>0.40946223220975431</v>
      </c>
      <c r="E54" s="21">
        <f t="shared" si="5"/>
        <v>0.59214538196487509</v>
      </c>
      <c r="F54" s="21">
        <f t="shared" si="6"/>
        <v>0.83152330233365446</v>
      </c>
      <c r="G54" s="21">
        <f t="shared" si="9"/>
        <v>0.56064828717950954</v>
      </c>
      <c r="H54" s="21">
        <f t="shared" si="7"/>
        <v>3.3448945655724392E-2</v>
      </c>
      <c r="I54" s="21">
        <f t="shared" si="8"/>
        <v>1.8176343195074943E-2</v>
      </c>
      <c r="J54" s="23">
        <f t="shared" si="1"/>
        <v>2.803241435897548E-2</v>
      </c>
      <c r="K54" s="132">
        <f t="shared" si="2"/>
        <v>0.64030599038928437</v>
      </c>
      <c r="L54" s="134">
        <f t="shared" si="3"/>
        <v>0.14593812834181574</v>
      </c>
    </row>
    <row r="55" spans="2:12" x14ac:dyDescent="0.25">
      <c r="B55" s="259"/>
      <c r="C55" s="20">
        <v>2056</v>
      </c>
      <c r="D55" s="21">
        <f t="shared" si="4"/>
        <v>0.43034480605245173</v>
      </c>
      <c r="E55" s="21">
        <f t="shared" si="5"/>
        <v>0.62234479644508367</v>
      </c>
      <c r="F55" s="21">
        <f t="shared" si="6"/>
        <v>0.87393099075267078</v>
      </c>
      <c r="G55" s="21">
        <f t="shared" si="9"/>
        <v>0.58924134982566445</v>
      </c>
      <c r="H55" s="21">
        <f t="shared" si="7"/>
        <v>3.4184822460150331E-2</v>
      </c>
      <c r="I55" s="21">
        <f t="shared" si="8"/>
        <v>1.8576222745366591E-2</v>
      </c>
      <c r="J55" s="23">
        <f t="shared" si="1"/>
        <v>2.9462067491283224E-2</v>
      </c>
      <c r="K55" s="132">
        <f t="shared" si="2"/>
        <v>0.67146446252246461</v>
      </c>
      <c r="L55" s="134">
        <f t="shared" si="3"/>
        <v>0.1473975096252339</v>
      </c>
    </row>
    <row r="56" spans="2:12" x14ac:dyDescent="0.25">
      <c r="B56" s="259"/>
      <c r="C56" s="20">
        <v>2057</v>
      </c>
      <c r="D56" s="21">
        <f t="shared" si="4"/>
        <v>0.45229239116112674</v>
      </c>
      <c r="E56" s="21">
        <f t="shared" si="5"/>
        <v>0.65408438106378286</v>
      </c>
      <c r="F56" s="21">
        <f t="shared" si="6"/>
        <v>0.91850147128105697</v>
      </c>
      <c r="G56" s="21">
        <f t="shared" si="9"/>
        <v>0.6192926586667733</v>
      </c>
      <c r="H56" s="21">
        <f t="shared" si="7"/>
        <v>3.493688855427364E-2</v>
      </c>
      <c r="I56" s="21">
        <f t="shared" si="8"/>
        <v>1.8984899645764657E-2</v>
      </c>
      <c r="J56" s="23">
        <f t="shared" si="1"/>
        <v>3.0964632933338666E-2</v>
      </c>
      <c r="K56" s="132">
        <f t="shared" si="2"/>
        <v>0.70417907980015026</v>
      </c>
      <c r="L56" s="134">
        <f t="shared" si="3"/>
        <v>0.14887148472148623</v>
      </c>
    </row>
    <row r="57" spans="2:12" x14ac:dyDescent="0.25">
      <c r="B57" s="259"/>
      <c r="C57" s="36">
        <v>2058</v>
      </c>
      <c r="D57" s="37">
        <f t="shared" si="4"/>
        <v>0.47535930311034419</v>
      </c>
      <c r="E57" s="37">
        <f t="shared" si="5"/>
        <v>0.68744268449803569</v>
      </c>
      <c r="F57" s="37">
        <f t="shared" si="6"/>
        <v>0.96534504631639084</v>
      </c>
      <c r="G57" s="37">
        <f t="shared" si="9"/>
        <v>0.6508765842587787</v>
      </c>
      <c r="H57" s="37">
        <f t="shared" si="7"/>
        <v>3.570550010246766E-2</v>
      </c>
      <c r="I57" s="37">
        <f t="shared" si="8"/>
        <v>1.9402567437971481E-2</v>
      </c>
      <c r="J57" s="38">
        <f t="shared" si="1"/>
        <v>3.2543829212938934E-2</v>
      </c>
      <c r="K57" s="133">
        <f t="shared" si="2"/>
        <v>0.73852848101215673</v>
      </c>
      <c r="L57" s="134">
        <f t="shared" si="3"/>
        <v>0.15036019956870109</v>
      </c>
    </row>
    <row r="58" spans="2:12" x14ac:dyDescent="0.25">
      <c r="J58" s="2"/>
      <c r="K58" s="2"/>
      <c r="L58" s="2"/>
    </row>
  </sheetData>
  <mergeCells count="9">
    <mergeCell ref="N2:O2"/>
    <mergeCell ref="N7:O7"/>
    <mergeCell ref="N12:P12"/>
    <mergeCell ref="B5:B17"/>
    <mergeCell ref="B18:B57"/>
    <mergeCell ref="C3:C4"/>
    <mergeCell ref="H5:K16"/>
    <mergeCell ref="C2:K2"/>
    <mergeCell ref="L5:L14"/>
  </mergeCells>
  <hyperlinks>
    <hyperlink ref="S5" r:id="rId1" xr:uid="{45F3A1A4-B6AD-48CD-B360-148B3B8338E1}"/>
    <hyperlink ref="S3" r:id="rId2" xr:uid="{4B773FD3-E5CB-49F2-B2A1-1587ABC89D97}"/>
    <hyperlink ref="S4" r:id="rId3" xr:uid="{A6DCC912-08AA-418F-8F83-4E451E51E9C8}"/>
    <hyperlink ref="S6" r:id="rId4" xr:uid="{EB190E36-46E3-4176-9DE3-E0189862303A}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0F31-7206-4C52-9C34-6EEB42831ABB}">
  <sheetPr>
    <tabColor theme="9"/>
  </sheetPr>
  <dimension ref="B2:N22"/>
  <sheetViews>
    <sheetView showGridLines="0" zoomScale="115" zoomScaleNormal="115" workbookViewId="0">
      <selection activeCell="D21" sqref="D21"/>
    </sheetView>
  </sheetViews>
  <sheetFormatPr defaultColWidth="8.85546875" defaultRowHeight="15" x14ac:dyDescent="0.25"/>
  <cols>
    <col min="4" max="4" width="10.42578125" bestFit="1" customWidth="1"/>
    <col min="7" max="7" width="10.42578125" bestFit="1" customWidth="1"/>
    <col min="8" max="8" width="10.28515625" bestFit="1" customWidth="1"/>
  </cols>
  <sheetData>
    <row r="2" spans="2:9" x14ac:dyDescent="0.25">
      <c r="B2" s="28" t="s">
        <v>101</v>
      </c>
      <c r="C2" s="32">
        <v>0.503</v>
      </c>
      <c r="D2" s="33" t="s">
        <v>98</v>
      </c>
    </row>
    <row r="3" spans="2:9" x14ac:dyDescent="0.25">
      <c r="B3" s="25" t="s">
        <v>99</v>
      </c>
      <c r="C3" s="42">
        <v>0.25</v>
      </c>
      <c r="D3" s="43" t="s">
        <v>98</v>
      </c>
    </row>
    <row r="4" spans="2:9" x14ac:dyDescent="0.25">
      <c r="B4" s="19" t="s">
        <v>100</v>
      </c>
      <c r="C4" s="34">
        <v>0.247</v>
      </c>
      <c r="D4" s="35" t="s">
        <v>98</v>
      </c>
    </row>
    <row r="6" spans="2:9" ht="32.1" customHeight="1" x14ac:dyDescent="0.25">
      <c r="B6" s="273" t="s">
        <v>94</v>
      </c>
      <c r="C6" s="217" t="s">
        <v>95</v>
      </c>
      <c r="D6" s="217" t="s">
        <v>97</v>
      </c>
      <c r="E6" s="217" t="s">
        <v>99</v>
      </c>
      <c r="F6" s="217" t="s">
        <v>100</v>
      </c>
      <c r="G6" s="53" t="s">
        <v>263</v>
      </c>
      <c r="H6" s="274" t="s">
        <v>239</v>
      </c>
      <c r="I6" s="53" t="s">
        <v>236</v>
      </c>
    </row>
    <row r="7" spans="2:9" x14ac:dyDescent="0.25">
      <c r="B7" s="273"/>
      <c r="C7" s="217" t="s">
        <v>96</v>
      </c>
      <c r="D7" s="217" t="s">
        <v>96</v>
      </c>
      <c r="E7" s="217" t="s">
        <v>96</v>
      </c>
      <c r="F7" s="217" t="s">
        <v>96</v>
      </c>
      <c r="G7" s="53" t="s">
        <v>96</v>
      </c>
      <c r="H7" s="274"/>
      <c r="I7" s="53" t="s">
        <v>96</v>
      </c>
    </row>
    <row r="8" spans="2:9" x14ac:dyDescent="0.25">
      <c r="B8" s="51">
        <v>1</v>
      </c>
      <c r="C8" s="139">
        <v>219.15</v>
      </c>
      <c r="D8" s="140">
        <f>C8*$C$2</f>
        <v>110.23245</v>
      </c>
      <c r="E8" s="140">
        <f>C8*$C$3</f>
        <v>54.787500000000001</v>
      </c>
      <c r="F8" s="140">
        <f>C8*$C$4</f>
        <v>54.130050000000004</v>
      </c>
      <c r="G8" s="140">
        <f>(D8*$D$20+E8*$E$20+F8*$F$20)*1</f>
        <v>140.1354675</v>
      </c>
      <c r="H8" s="136">
        <v>0.25294818601015401</v>
      </c>
      <c r="I8" s="141">
        <f>H8*G8</f>
        <v>35.447012299809892</v>
      </c>
    </row>
    <row r="9" spans="2:9" x14ac:dyDescent="0.25">
      <c r="B9" s="20">
        <v>2</v>
      </c>
      <c r="C9" s="44">
        <v>238.72</v>
      </c>
      <c r="D9" s="45">
        <f t="shared" ref="D9:D19" si="0">C9*$C$2</f>
        <v>120.07616</v>
      </c>
      <c r="E9" s="45">
        <f t="shared" ref="E9:E19" si="1">C9*$C$3</f>
        <v>59.68</v>
      </c>
      <c r="F9" s="45">
        <f t="shared" ref="F9:F19" si="2">C9*$C$4</f>
        <v>58.963839999999998</v>
      </c>
      <c r="G9" s="45">
        <f t="shared" ref="G9:G19" si="3">(D9*$D$20+E9*$E$20+F9*$F$20)*1</f>
        <v>152.64950400000001</v>
      </c>
      <c r="H9" s="66">
        <v>0.351299423149111</v>
      </c>
      <c r="I9" s="142">
        <f t="shared" ref="I9:I19" si="4">H9*G9</f>
        <v>53.625682699197917</v>
      </c>
    </row>
    <row r="10" spans="2:9" x14ac:dyDescent="0.25">
      <c r="B10" s="20">
        <v>3</v>
      </c>
      <c r="C10" s="44">
        <v>292.2</v>
      </c>
      <c r="D10" s="45">
        <f t="shared" si="0"/>
        <v>146.97659999999999</v>
      </c>
      <c r="E10" s="45">
        <f t="shared" si="1"/>
        <v>73.05</v>
      </c>
      <c r="F10" s="45">
        <f t="shared" si="2"/>
        <v>72.173400000000001</v>
      </c>
      <c r="G10" s="45">
        <f t="shared" si="3"/>
        <v>186.84729000000002</v>
      </c>
      <c r="H10" s="66">
        <v>0.521648762861042</v>
      </c>
      <c r="I10" s="142">
        <f t="shared" si="4"/>
        <v>97.468657672438354</v>
      </c>
    </row>
    <row r="11" spans="2:9" x14ac:dyDescent="0.25">
      <c r="B11" s="20">
        <v>4</v>
      </c>
      <c r="C11" s="44">
        <v>365.25</v>
      </c>
      <c r="D11" s="45">
        <f t="shared" si="0"/>
        <v>183.72075000000001</v>
      </c>
      <c r="E11" s="45">
        <f t="shared" si="1"/>
        <v>91.3125</v>
      </c>
      <c r="F11" s="45">
        <f t="shared" si="2"/>
        <v>90.216750000000005</v>
      </c>
      <c r="G11" s="45">
        <f t="shared" si="3"/>
        <v>233.55911250000003</v>
      </c>
      <c r="H11" s="66">
        <v>0.71835123713895699</v>
      </c>
      <c r="I11" s="142">
        <f t="shared" si="4"/>
        <v>167.77747740945185</v>
      </c>
    </row>
    <row r="12" spans="2:9" x14ac:dyDescent="0.25">
      <c r="B12" s="20">
        <v>5</v>
      </c>
      <c r="C12" s="44">
        <v>438.3</v>
      </c>
      <c r="D12" s="45">
        <f t="shared" si="0"/>
        <v>220.4649</v>
      </c>
      <c r="E12" s="45">
        <f t="shared" si="1"/>
        <v>109.575</v>
      </c>
      <c r="F12" s="45">
        <f t="shared" si="2"/>
        <v>108.26010000000001</v>
      </c>
      <c r="G12" s="45">
        <f t="shared" si="3"/>
        <v>280.27093500000001</v>
      </c>
      <c r="H12" s="66">
        <v>0.88870057685088799</v>
      </c>
      <c r="I12" s="142">
        <f t="shared" si="4"/>
        <v>249.07694160903773</v>
      </c>
    </row>
    <row r="13" spans="2:9" x14ac:dyDescent="0.25">
      <c r="B13" s="20">
        <v>6</v>
      </c>
      <c r="C13" s="44">
        <v>491.78</v>
      </c>
      <c r="D13" s="45">
        <f t="shared" si="0"/>
        <v>247.36533999999997</v>
      </c>
      <c r="E13" s="45">
        <f t="shared" si="1"/>
        <v>122.94499999999999</v>
      </c>
      <c r="F13" s="45">
        <f t="shared" si="2"/>
        <v>121.46965999999999</v>
      </c>
      <c r="G13" s="45">
        <f t="shared" si="3"/>
        <v>314.46872099999996</v>
      </c>
      <c r="H13" s="66">
        <v>0.98705181398984498</v>
      </c>
      <c r="I13" s="142">
        <f t="shared" si="4"/>
        <v>310.39692150611643</v>
      </c>
    </row>
    <row r="14" spans="2:9" x14ac:dyDescent="0.25">
      <c r="B14" s="20">
        <v>7</v>
      </c>
      <c r="C14" s="44">
        <v>511.35</v>
      </c>
      <c r="D14" s="45">
        <f t="shared" si="0"/>
        <v>257.20904999999999</v>
      </c>
      <c r="E14" s="45">
        <f t="shared" si="1"/>
        <v>127.83750000000001</v>
      </c>
      <c r="F14" s="45">
        <f t="shared" si="2"/>
        <v>126.30345</v>
      </c>
      <c r="G14" s="45">
        <f t="shared" si="3"/>
        <v>326.98275750000005</v>
      </c>
      <c r="H14" s="66">
        <v>0.98705181398984598</v>
      </c>
      <c r="I14" s="142">
        <f t="shared" si="4"/>
        <v>322.74892393377695</v>
      </c>
    </row>
    <row r="15" spans="2:9" x14ac:dyDescent="0.25">
      <c r="B15" s="20">
        <v>8</v>
      </c>
      <c r="C15" s="44">
        <v>491.78</v>
      </c>
      <c r="D15" s="45">
        <f t="shared" si="0"/>
        <v>247.36533999999997</v>
      </c>
      <c r="E15" s="45">
        <f t="shared" si="1"/>
        <v>122.94499999999999</v>
      </c>
      <c r="F15" s="45">
        <f t="shared" si="2"/>
        <v>121.46965999999999</v>
      </c>
      <c r="G15" s="45">
        <f t="shared" si="3"/>
        <v>314.46872099999996</v>
      </c>
      <c r="H15" s="66">
        <v>0.88870057685088799</v>
      </c>
      <c r="I15" s="142">
        <f t="shared" si="4"/>
        <v>279.46853375426093</v>
      </c>
    </row>
    <row r="16" spans="2:9" x14ac:dyDescent="0.25">
      <c r="B16" s="20">
        <v>9</v>
      </c>
      <c r="C16" s="44">
        <v>438.3</v>
      </c>
      <c r="D16" s="45">
        <f t="shared" si="0"/>
        <v>220.4649</v>
      </c>
      <c r="E16" s="45">
        <f t="shared" si="1"/>
        <v>109.575</v>
      </c>
      <c r="F16" s="45">
        <f t="shared" si="2"/>
        <v>108.26010000000001</v>
      </c>
      <c r="G16" s="45">
        <f t="shared" si="3"/>
        <v>280.27093500000001</v>
      </c>
      <c r="H16" s="66">
        <v>0.71835123713895699</v>
      </c>
      <c r="I16" s="142">
        <f t="shared" si="4"/>
        <v>201.33297289134219</v>
      </c>
    </row>
    <row r="17" spans="2:14" x14ac:dyDescent="0.25">
      <c r="B17" s="20">
        <v>10</v>
      </c>
      <c r="C17" s="44">
        <v>365.25</v>
      </c>
      <c r="D17" s="45">
        <f t="shared" si="0"/>
        <v>183.72075000000001</v>
      </c>
      <c r="E17" s="45">
        <f t="shared" si="1"/>
        <v>91.3125</v>
      </c>
      <c r="F17" s="45">
        <f t="shared" si="2"/>
        <v>90.216750000000005</v>
      </c>
      <c r="G17" s="45">
        <f t="shared" si="3"/>
        <v>233.55911250000003</v>
      </c>
      <c r="H17" s="66">
        <v>0.521648762861042</v>
      </c>
      <c r="I17" s="142">
        <f t="shared" si="4"/>
        <v>121.83582209054795</v>
      </c>
    </row>
    <row r="18" spans="2:14" x14ac:dyDescent="0.25">
      <c r="B18" s="20">
        <v>11</v>
      </c>
      <c r="C18" s="44">
        <v>292.2</v>
      </c>
      <c r="D18" s="45">
        <f t="shared" si="0"/>
        <v>146.97659999999999</v>
      </c>
      <c r="E18" s="45">
        <f t="shared" si="1"/>
        <v>73.05</v>
      </c>
      <c r="F18" s="45">
        <f t="shared" si="2"/>
        <v>72.173400000000001</v>
      </c>
      <c r="G18" s="45">
        <f t="shared" si="3"/>
        <v>186.84729000000002</v>
      </c>
      <c r="H18" s="66">
        <v>0.351299423149111</v>
      </c>
      <c r="I18" s="142">
        <f t="shared" si="4"/>
        <v>65.639345193974663</v>
      </c>
    </row>
    <row r="19" spans="2:14" x14ac:dyDescent="0.25">
      <c r="B19" s="47">
        <v>12</v>
      </c>
      <c r="C19" s="14">
        <v>238.72</v>
      </c>
      <c r="D19" s="13">
        <f t="shared" si="0"/>
        <v>120.07616</v>
      </c>
      <c r="E19" s="13">
        <f t="shared" si="1"/>
        <v>59.68</v>
      </c>
      <c r="F19" s="13">
        <f t="shared" si="2"/>
        <v>58.963839999999998</v>
      </c>
      <c r="G19" s="13">
        <f t="shared" si="3"/>
        <v>152.64950400000001</v>
      </c>
      <c r="H19" s="60">
        <v>0.25294818601015401</v>
      </c>
      <c r="I19" s="143">
        <f t="shared" si="4"/>
        <v>38.612415132149749</v>
      </c>
    </row>
    <row r="20" spans="2:14" x14ac:dyDescent="0.25">
      <c r="B20" s="271" t="s">
        <v>102</v>
      </c>
      <c r="C20" s="272"/>
      <c r="D20" s="137">
        <v>0.9</v>
      </c>
      <c r="E20" s="138">
        <v>0.5</v>
      </c>
      <c r="F20" s="138">
        <v>0.25</v>
      </c>
      <c r="G20" s="12"/>
    </row>
    <row r="21" spans="2:14" x14ac:dyDescent="0.25">
      <c r="C21" s="12"/>
      <c r="D21" s="12"/>
      <c r="L21" t="s">
        <v>237</v>
      </c>
      <c r="M21" t="s">
        <v>238</v>
      </c>
      <c r="N21" t="s">
        <v>240</v>
      </c>
    </row>
    <row r="22" spans="2:14" x14ac:dyDescent="0.25">
      <c r="L22">
        <f>MIN(G8:G19)/MAX(G8:G19)</f>
        <v>0.42857142857142855</v>
      </c>
      <c r="M22">
        <v>0.114</v>
      </c>
      <c r="N22">
        <f>MIN(I8:I19)/MAX(I8:I19)</f>
        <v>0.10982844456232196</v>
      </c>
    </row>
  </sheetData>
  <mergeCells count="3">
    <mergeCell ref="B20:C20"/>
    <mergeCell ref="B6:B7"/>
    <mergeCell ref="H6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F95-A67A-4914-BF6F-EF3820854B3C}">
  <sheetPr>
    <tabColor theme="9"/>
  </sheetPr>
  <dimension ref="B2:D22"/>
  <sheetViews>
    <sheetView showGridLines="0" zoomScale="135" zoomScaleNormal="135" workbookViewId="0">
      <selection activeCell="E6" sqref="E6"/>
    </sheetView>
  </sheetViews>
  <sheetFormatPr defaultColWidth="8.85546875" defaultRowHeight="15" x14ac:dyDescent="0.25"/>
  <cols>
    <col min="2" max="2" width="15.42578125" customWidth="1"/>
    <col min="3" max="3" width="8.42578125" bestFit="1" customWidth="1"/>
    <col min="4" max="4" width="9.42578125" bestFit="1" customWidth="1"/>
  </cols>
  <sheetData>
    <row r="2" spans="2:4" x14ac:dyDescent="0.25">
      <c r="B2" s="28" t="s">
        <v>107</v>
      </c>
      <c r="C2" s="49">
        <v>8300</v>
      </c>
      <c r="D2" s="33" t="s">
        <v>108</v>
      </c>
    </row>
    <row r="3" spans="2:4" x14ac:dyDescent="0.25">
      <c r="B3" s="25" t="s">
        <v>106</v>
      </c>
      <c r="C3" s="50">
        <v>0.1</v>
      </c>
      <c r="D3" s="43"/>
    </row>
    <row r="4" spans="2:4" x14ac:dyDescent="0.25">
      <c r="B4" s="25" t="s">
        <v>109</v>
      </c>
      <c r="C4" s="45">
        <f>$C$2/12*C3</f>
        <v>69.166666666666671</v>
      </c>
      <c r="D4" s="43" t="s">
        <v>108</v>
      </c>
    </row>
    <row r="5" spans="2:4" x14ac:dyDescent="0.25">
      <c r="B5" s="19" t="s">
        <v>110</v>
      </c>
      <c r="C5" s="13">
        <v>691.67</v>
      </c>
      <c r="D5" s="35" t="s">
        <v>108</v>
      </c>
    </row>
    <row r="7" spans="2:4" x14ac:dyDescent="0.25">
      <c r="B7" s="260" t="s">
        <v>94</v>
      </c>
      <c r="C7" s="260" t="s">
        <v>103</v>
      </c>
      <c r="D7" s="260"/>
    </row>
    <row r="8" spans="2:4" x14ac:dyDescent="0.25">
      <c r="B8" s="260"/>
      <c r="C8" s="217" t="s">
        <v>104</v>
      </c>
      <c r="D8" s="217" t="s">
        <v>105</v>
      </c>
    </row>
    <row r="9" spans="2:4" x14ac:dyDescent="0.25">
      <c r="B9" s="260"/>
      <c r="C9" s="217" t="s">
        <v>62</v>
      </c>
      <c r="D9" s="217" t="s">
        <v>62</v>
      </c>
    </row>
    <row r="10" spans="2:4" x14ac:dyDescent="0.25">
      <c r="B10" s="20">
        <v>1</v>
      </c>
      <c r="C10" s="45">
        <f>$C$2/12</f>
        <v>691.66666666666663</v>
      </c>
      <c r="D10" s="46">
        <f>$C$4*COS(B10*PI()/6)+$C$5</f>
        <v>751.57009042842367</v>
      </c>
    </row>
    <row r="11" spans="2:4" x14ac:dyDescent="0.25">
      <c r="B11" s="20">
        <v>2</v>
      </c>
      <c r="C11" s="45">
        <f t="shared" ref="C11:C21" si="0">$C$2/12</f>
        <v>691.66666666666663</v>
      </c>
      <c r="D11" s="46">
        <f t="shared" ref="D11:D21" si="1">$C$4*COS(B11*PI()/6)+$C$5</f>
        <v>726.25333333333333</v>
      </c>
    </row>
    <row r="12" spans="2:4" x14ac:dyDescent="0.25">
      <c r="B12" s="20">
        <v>3</v>
      </c>
      <c r="C12" s="45">
        <f t="shared" si="0"/>
        <v>691.66666666666663</v>
      </c>
      <c r="D12" s="46">
        <f t="shared" si="1"/>
        <v>691.67</v>
      </c>
    </row>
    <row r="13" spans="2:4" x14ac:dyDescent="0.25">
      <c r="B13" s="20">
        <v>4</v>
      </c>
      <c r="C13" s="45">
        <f t="shared" si="0"/>
        <v>691.66666666666663</v>
      </c>
      <c r="D13" s="46">
        <f t="shared" si="1"/>
        <v>657.08666666666659</v>
      </c>
    </row>
    <row r="14" spans="2:4" x14ac:dyDescent="0.25">
      <c r="B14" s="20">
        <v>5</v>
      </c>
      <c r="C14" s="45">
        <f t="shared" si="0"/>
        <v>691.66666666666663</v>
      </c>
      <c r="D14" s="46">
        <f t="shared" si="1"/>
        <v>631.76990957157625</v>
      </c>
    </row>
    <row r="15" spans="2:4" x14ac:dyDescent="0.25">
      <c r="B15" s="20">
        <v>6</v>
      </c>
      <c r="C15" s="45">
        <f t="shared" si="0"/>
        <v>691.66666666666663</v>
      </c>
      <c r="D15" s="46">
        <f t="shared" si="1"/>
        <v>622.50333333333333</v>
      </c>
    </row>
    <row r="16" spans="2:4" x14ac:dyDescent="0.25">
      <c r="B16" s="20">
        <v>7</v>
      </c>
      <c r="C16" s="45">
        <f t="shared" si="0"/>
        <v>691.66666666666663</v>
      </c>
      <c r="D16" s="46">
        <f t="shared" si="1"/>
        <v>631.76990957157625</v>
      </c>
    </row>
    <row r="17" spans="2:4" x14ac:dyDescent="0.25">
      <c r="B17" s="20">
        <v>8</v>
      </c>
      <c r="C17" s="45">
        <f t="shared" si="0"/>
        <v>691.66666666666663</v>
      </c>
      <c r="D17" s="46">
        <f t="shared" si="1"/>
        <v>657.08666666666659</v>
      </c>
    </row>
    <row r="18" spans="2:4" x14ac:dyDescent="0.25">
      <c r="B18" s="20">
        <v>9</v>
      </c>
      <c r="C18" s="45">
        <f t="shared" si="0"/>
        <v>691.66666666666663</v>
      </c>
      <c r="D18" s="46">
        <f t="shared" si="1"/>
        <v>691.67</v>
      </c>
    </row>
    <row r="19" spans="2:4" x14ac:dyDescent="0.25">
      <c r="B19" s="20">
        <v>10</v>
      </c>
      <c r="C19" s="45">
        <f t="shared" si="0"/>
        <v>691.66666666666663</v>
      </c>
      <c r="D19" s="46">
        <f t="shared" si="1"/>
        <v>726.25333333333333</v>
      </c>
    </row>
    <row r="20" spans="2:4" x14ac:dyDescent="0.25">
      <c r="B20" s="20">
        <v>11</v>
      </c>
      <c r="C20" s="45">
        <f t="shared" si="0"/>
        <v>691.66666666666663</v>
      </c>
      <c r="D20" s="46">
        <f t="shared" si="1"/>
        <v>751.57009042842367</v>
      </c>
    </row>
    <row r="21" spans="2:4" x14ac:dyDescent="0.25">
      <c r="B21" s="47">
        <v>12</v>
      </c>
      <c r="C21" s="13">
        <f t="shared" si="0"/>
        <v>691.66666666666663</v>
      </c>
      <c r="D21" s="48">
        <f t="shared" si="1"/>
        <v>760.83666666666659</v>
      </c>
    </row>
    <row r="22" spans="2:4" x14ac:dyDescent="0.25">
      <c r="B22" s="19" t="s">
        <v>111</v>
      </c>
      <c r="C22" s="13">
        <f>SUM(C10:C21)</f>
        <v>8300.0000000000018</v>
      </c>
      <c r="D22" s="48">
        <f>SUM(D10:D21)</f>
        <v>8300.0400000000009</v>
      </c>
    </row>
  </sheetData>
  <mergeCells count="2">
    <mergeCell ref="C7:D7"/>
    <mergeCell ref="B7:B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7B96-2ADC-3042-9646-21FE100CA32C}">
  <sheetPr>
    <tabColor theme="9"/>
  </sheetPr>
  <dimension ref="B2:H8"/>
  <sheetViews>
    <sheetView showGridLines="0" zoomScale="170" zoomScaleNormal="170" workbookViewId="0">
      <selection activeCell="D12" sqref="D12"/>
    </sheetView>
  </sheetViews>
  <sheetFormatPr defaultColWidth="11.42578125" defaultRowHeight="15" x14ac:dyDescent="0.25"/>
  <cols>
    <col min="2" max="2" width="13.7109375" customWidth="1"/>
    <col min="3" max="3" width="7.42578125" customWidth="1"/>
    <col min="6" max="6" width="11.140625" bestFit="1" customWidth="1"/>
    <col min="7" max="7" width="15.7109375" bestFit="1" customWidth="1"/>
    <col min="8" max="8" width="12.140625" bestFit="1" customWidth="1"/>
  </cols>
  <sheetData>
    <row r="2" spans="2:8" ht="23.25" x14ac:dyDescent="0.35">
      <c r="B2" s="56" t="s">
        <v>156</v>
      </c>
    </row>
    <row r="4" spans="2:8" x14ac:dyDescent="0.25">
      <c r="B4" s="234" t="s">
        <v>159</v>
      </c>
      <c r="C4" s="235"/>
      <c r="D4" s="235"/>
      <c r="E4" s="235"/>
      <c r="F4" s="235"/>
      <c r="G4" s="235"/>
      <c r="H4" s="131"/>
    </row>
    <row r="5" spans="2:8" x14ac:dyDescent="0.25">
      <c r="B5" s="20" t="s">
        <v>157</v>
      </c>
      <c r="C5" s="236">
        <v>0.75</v>
      </c>
      <c r="D5" s="52" t="s">
        <v>3</v>
      </c>
      <c r="E5" s="52" t="s">
        <v>165</v>
      </c>
      <c r="F5" s="50">
        <v>0.3</v>
      </c>
      <c r="G5" s="52" t="s">
        <v>166</v>
      </c>
      <c r="H5" s="232">
        <v>10000</v>
      </c>
    </row>
    <row r="6" spans="2:8" x14ac:dyDescent="0.25">
      <c r="B6" s="20" t="s">
        <v>158</v>
      </c>
      <c r="C6" s="236">
        <v>0.15</v>
      </c>
      <c r="D6" s="52" t="s">
        <v>3</v>
      </c>
      <c r="E6" s="52"/>
      <c r="F6" s="21"/>
      <c r="G6" s="52"/>
      <c r="H6" s="43"/>
    </row>
    <row r="7" spans="2:8" x14ac:dyDescent="0.25">
      <c r="B7" s="20"/>
      <c r="C7" s="52"/>
      <c r="D7" s="52"/>
      <c r="E7" s="52"/>
      <c r="F7" s="52"/>
      <c r="G7" s="52"/>
      <c r="H7" s="43"/>
    </row>
    <row r="8" spans="2:8" x14ac:dyDescent="0.25">
      <c r="B8" s="47"/>
      <c r="C8" s="237"/>
      <c r="D8" s="55"/>
      <c r="E8" s="55"/>
      <c r="F8" s="55"/>
      <c r="G8" s="55"/>
      <c r="H8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sheetPr>
    <tabColor rgb="FF00B050"/>
  </sheetPr>
  <dimension ref="B3:M45"/>
  <sheetViews>
    <sheetView showGridLines="0" topLeftCell="A3" zoomScaleNormal="100" workbookViewId="0">
      <selection activeCell="N34" sqref="N34"/>
    </sheetView>
  </sheetViews>
  <sheetFormatPr defaultColWidth="8.85546875" defaultRowHeight="15" x14ac:dyDescent="0.25"/>
  <cols>
    <col min="2" max="2" width="5" bestFit="1" customWidth="1"/>
    <col min="3" max="3" width="6.42578125" bestFit="1" customWidth="1"/>
    <col min="4" max="4" width="11" bestFit="1" customWidth="1"/>
    <col min="5" max="5" width="11.28515625" bestFit="1" customWidth="1"/>
    <col min="6" max="6" width="2.42578125" customWidth="1"/>
    <col min="7" max="7" width="11.42578125" bestFit="1" customWidth="1"/>
    <col min="8" max="9" width="12.28515625" bestFit="1" customWidth="1"/>
    <col min="10" max="10" width="9.7109375" customWidth="1"/>
  </cols>
  <sheetData>
    <row r="3" spans="2:13" x14ac:dyDescent="0.25">
      <c r="B3" s="273" t="s">
        <v>56</v>
      </c>
      <c r="C3" s="160" t="s">
        <v>61</v>
      </c>
      <c r="D3" s="160" t="s">
        <v>92</v>
      </c>
      <c r="E3" s="160" t="s">
        <v>188</v>
      </c>
      <c r="F3" s="1"/>
      <c r="G3" s="81"/>
      <c r="H3" s="81"/>
      <c r="I3" s="53" t="s">
        <v>177</v>
      </c>
      <c r="J3" s="82"/>
      <c r="M3" t="s">
        <v>93</v>
      </c>
    </row>
    <row r="4" spans="2:13" x14ac:dyDescent="0.25">
      <c r="B4" s="273"/>
      <c r="C4" s="160" t="s">
        <v>62</v>
      </c>
      <c r="D4" s="160" t="s">
        <v>59</v>
      </c>
      <c r="E4" s="160" t="s">
        <v>176</v>
      </c>
      <c r="G4" s="53" t="s">
        <v>186</v>
      </c>
      <c r="H4" s="53" t="s">
        <v>59</v>
      </c>
      <c r="I4" s="53" t="s">
        <v>176</v>
      </c>
      <c r="J4" s="79"/>
    </row>
    <row r="5" spans="2:13" x14ac:dyDescent="0.25">
      <c r="B5" s="20">
        <v>0</v>
      </c>
      <c r="C5" s="52">
        <v>0</v>
      </c>
      <c r="D5" s="229">
        <v>0</v>
      </c>
      <c r="E5" s="230">
        <f>D5/(1+Constants!$D$20)^B5</f>
        <v>0</v>
      </c>
      <c r="G5" s="20" t="s">
        <v>64</v>
      </c>
      <c r="H5" s="21">
        <f>NPV(Constants!$D$21,D6:D10)</f>
        <v>5057.565959640091</v>
      </c>
      <c r="I5" s="21">
        <f>NPV(Constants!$D$21,E6:E10)</f>
        <v>4764.8942028574611</v>
      </c>
      <c r="J5" s="43" t="s">
        <v>178</v>
      </c>
    </row>
    <row r="6" spans="2:13" x14ac:dyDescent="0.25">
      <c r="B6" s="20">
        <v>1</v>
      </c>
      <c r="C6" s="231">
        <f>SUM(Consumption!$D$10:$D$21)</f>
        <v>8300.0400000000009</v>
      </c>
      <c r="D6" s="229">
        <f>C6*'Grid Power'!K18</f>
        <v>1010.9502172257601</v>
      </c>
      <c r="E6" s="230">
        <f>D6/(1+Constants!$D$20)^B6</f>
        <v>991.12766394682353</v>
      </c>
      <c r="G6" s="20" t="s">
        <v>65</v>
      </c>
      <c r="H6" s="21">
        <f>NPV(Constants!$D$21,D6:D25)</f>
        <v>22837.989575851912</v>
      </c>
      <c r="I6" s="21">
        <f>NPV(Constants!$D$21,E6:E25)</f>
        <v>18478.410159694031</v>
      </c>
      <c r="J6" s="43" t="s">
        <v>178</v>
      </c>
    </row>
    <row r="7" spans="2:13" x14ac:dyDescent="0.25">
      <c r="B7" s="20">
        <v>2</v>
      </c>
      <c r="C7" s="231">
        <f>SUM(Consumption!$D$10:$D$21)</f>
        <v>8300.0400000000009</v>
      </c>
      <c r="D7" s="229">
        <f>C7*'Grid Power'!K19</f>
        <v>1056.8318151002288</v>
      </c>
      <c r="E7" s="230">
        <f>D7/(1+Constants!$D$20)^B7</f>
        <v>1015.7937476934148</v>
      </c>
      <c r="G7" s="47" t="s">
        <v>66</v>
      </c>
      <c r="H7" s="63">
        <f>NPV(Constants!$D$21,D6:D45)</f>
        <v>54766.122515521602</v>
      </c>
      <c r="I7" s="63">
        <f>NPV(Constants!$D$21,E6:E45)</f>
        <v>35844.190316733766</v>
      </c>
      <c r="J7" s="35" t="s">
        <v>178</v>
      </c>
    </row>
    <row r="8" spans="2:13" x14ac:dyDescent="0.25">
      <c r="B8" s="20">
        <v>3</v>
      </c>
      <c r="C8" s="231">
        <f>SUM(Consumption!$D$10:$D$21)</f>
        <v>8300.0400000000009</v>
      </c>
      <c r="D8" s="229">
        <f>C8*'Grid Power'!K20</f>
        <v>1104.9284834758062</v>
      </c>
      <c r="E8" s="230">
        <f>D8/(1+Constants!$D$20)^B8</f>
        <v>1041.1987880564473</v>
      </c>
    </row>
    <row r="9" spans="2:13" x14ac:dyDescent="0.25">
      <c r="B9" s="20">
        <v>4</v>
      </c>
      <c r="C9" s="231">
        <f>SUM(Consumption!$D$10:$D$21)</f>
        <v>8300.0400000000009</v>
      </c>
      <c r="D9" s="229">
        <f>C9*'Grid Power'!K21</f>
        <v>1155.3504433462585</v>
      </c>
      <c r="E9" s="230">
        <f>D9/(1+Constants!$D$20)^B9</f>
        <v>1067.3652225431463</v>
      </c>
      <c r="G9" s="260" t="s">
        <v>179</v>
      </c>
      <c r="H9" s="260"/>
    </row>
    <row r="10" spans="2:13" x14ac:dyDescent="0.25">
      <c r="B10" s="57">
        <v>5</v>
      </c>
      <c r="C10" s="58">
        <f>SUM(Consumption!$D$10:$D$21)</f>
        <v>8300.0400000000009</v>
      </c>
      <c r="D10" s="59">
        <f>C10*'Grid Power'!K22</f>
        <v>1208.213476528794</v>
      </c>
      <c r="E10" s="62">
        <f>D10/(1+Constants!$D$20)^B10</f>
        <v>1094.3161705438426</v>
      </c>
      <c r="G10" s="160" t="s">
        <v>186</v>
      </c>
      <c r="H10" s="160" t="s">
        <v>176</v>
      </c>
    </row>
    <row r="11" spans="2:13" x14ac:dyDescent="0.25">
      <c r="B11" s="20">
        <v>6</v>
      </c>
      <c r="C11" s="231">
        <f>SUM(Consumption!$D$10:$D$21)</f>
        <v>8300.0400000000009</v>
      </c>
      <c r="D11" s="229">
        <f>C11*'Grid Power'!K23</f>
        <v>1263.6392079362199</v>
      </c>
      <c r="E11" s="230">
        <f>D11/(1+Constants!$D$20)^B11</f>
        <v>1122.07545405579</v>
      </c>
      <c r="G11" s="20" t="s">
        <v>64</v>
      </c>
      <c r="H11" s="232">
        <f>PMT(Constants!$D$21,5,-'Analysis (Nothing)'!I5)</f>
        <v>1040.4364314340303</v>
      </c>
    </row>
    <row r="12" spans="2:13" x14ac:dyDescent="0.25">
      <c r="B12" s="20">
        <v>7</v>
      </c>
      <c r="C12" s="231">
        <f>SUM(Consumption!$D$10:$D$21)</f>
        <v>8300.0400000000009</v>
      </c>
      <c r="D12" s="229">
        <f>C12*'Grid Power'!K24</f>
        <v>1321.7554022157228</v>
      </c>
      <c r="E12" s="230">
        <f>D12/(1+Constants!$D$20)^B12</f>
        <v>1150.6676190368253</v>
      </c>
      <c r="G12" s="20" t="s">
        <v>65</v>
      </c>
      <c r="H12" s="232">
        <f>PMT(Constants!$D$21,20,-'Analysis (Nothing)'!I6)</f>
        <v>1242.0394141488248</v>
      </c>
    </row>
    <row r="13" spans="2:13" x14ac:dyDescent="0.25">
      <c r="B13" s="20">
        <v>8</v>
      </c>
      <c r="C13" s="231">
        <f>SUM(Consumption!$D$10:$D$21)</f>
        <v>8300.0400000000009</v>
      </c>
      <c r="D13" s="229">
        <f>C13*'Grid Power'!K25</f>
        <v>1382.6962754863248</v>
      </c>
      <c r="E13" s="230">
        <f>D13/(1+Constants!$D$20)^B13</f>
        <v>1180.1179574080081</v>
      </c>
      <c r="G13" s="47" t="s">
        <v>66</v>
      </c>
      <c r="H13" s="233">
        <f>PMT(Constants!$D$21,40,-'Analysis (Nothing)'!I7)</f>
        <v>1550.7049066602067</v>
      </c>
    </row>
    <row r="14" spans="2:13" x14ac:dyDescent="0.25">
      <c r="B14" s="20">
        <v>9</v>
      </c>
      <c r="C14" s="231">
        <f>SUM(Consumption!$D$10:$D$21)</f>
        <v>8300.0400000000009</v>
      </c>
      <c r="D14" s="229">
        <f>C14*'Grid Power'!K26</f>
        <v>1446.602822944395</v>
      </c>
      <c r="E14" s="230">
        <f>D14/(1+Constants!$D$20)^B14</f>
        <v>1210.4525297249754</v>
      </c>
      <c r="G14" s="2"/>
    </row>
    <row r="15" spans="2:13" x14ac:dyDescent="0.25">
      <c r="B15" s="20">
        <v>10</v>
      </c>
      <c r="C15" s="231">
        <f>SUM(Consumption!$D$10:$D$21)</f>
        <v>8300.0400000000009</v>
      </c>
      <c r="D15" s="229">
        <f>C15*'Grid Power'!K27</f>
        <v>1513.6231631458083</v>
      </c>
      <c r="E15" s="230">
        <f>D15/(1+Constants!$D$20)^B15</f>
        <v>1241.6981885383186</v>
      </c>
      <c r="G15" s="54"/>
    </row>
    <row r="16" spans="2:13" x14ac:dyDescent="0.25">
      <c r="B16" s="20">
        <v>11</v>
      </c>
      <c r="C16" s="231">
        <f>SUM(Consumption!$D$10:$D$21)</f>
        <v>8300.0400000000009</v>
      </c>
      <c r="D16" s="229">
        <f>C16*'Grid Power'!K28</f>
        <v>1583.9128998145811</v>
      </c>
      <c r="E16" s="230">
        <f>D16/(1+Constants!$D$20)^B16</f>
        <v>1273.8826024639402</v>
      </c>
      <c r="G16" s="2"/>
    </row>
    <row r="17" spans="2:5" x14ac:dyDescent="0.25">
      <c r="B17" s="20">
        <v>12</v>
      </c>
      <c r="C17" s="231">
        <f>SUM(Consumption!$D$10:$D$21)</f>
        <v>8300.0400000000009</v>
      </c>
      <c r="D17" s="229">
        <f>C17*'Grid Power'!K29</f>
        <v>1657.6355020711253</v>
      </c>
      <c r="E17" s="230">
        <f>D17/(1+Constants!$D$20)^B17</f>
        <v>1307.0342809849549</v>
      </c>
    </row>
    <row r="18" spans="2:5" x14ac:dyDescent="0.25">
      <c r="B18" s="20">
        <v>13</v>
      </c>
      <c r="C18" s="231">
        <f>SUM(Consumption!$D$10:$D$21)</f>
        <v>8300.0400000000009</v>
      </c>
      <c r="D18" s="229">
        <f>C18*'Grid Power'!K30</f>
        <v>1734.962704018805</v>
      </c>
      <c r="E18" s="230">
        <f>D18/(1+Constants!$D$20)^B18</f>
        <v>1341.1826000073775</v>
      </c>
    </row>
    <row r="19" spans="2:5" x14ac:dyDescent="0.25">
      <c r="B19" s="20">
        <v>14</v>
      </c>
      <c r="C19" s="231">
        <f>SUM(Consumption!$D$10:$D$21)</f>
        <v>8300.0400000000009</v>
      </c>
      <c r="D19" s="229">
        <f>C19*'Grid Power'!K31</f>
        <v>1816.0749246753412</v>
      </c>
      <c r="E19" s="230">
        <f>D19/(1+Constants!$D$20)^B19</f>
        <v>1376.3578281925002</v>
      </c>
    </row>
    <row r="20" spans="2:5" x14ac:dyDescent="0.25">
      <c r="B20" s="20">
        <v>15</v>
      </c>
      <c r="C20" s="231">
        <f>SUM(Consumption!$D$10:$D$21)</f>
        <v>8300.0400000000009</v>
      </c>
      <c r="D20" s="229">
        <f>C20*'Grid Power'!K32</f>
        <v>1901.161709285896</v>
      </c>
      <c r="E20" s="230">
        <f>D20/(1+Constants!$D$20)^B20</f>
        <v>1412.5911540895718</v>
      </c>
    </row>
    <row r="21" spans="2:5" x14ac:dyDescent="0.25">
      <c r="B21" s="20">
        <v>16</v>
      </c>
      <c r="C21" s="231">
        <f>SUM(Consumption!$D$10:$D$21)</f>
        <v>8300.0400000000009</v>
      </c>
      <c r="D21" s="229">
        <f>C21*'Grid Power'!K33</f>
        <v>1990.4221931075349</v>
      </c>
      <c r="E21" s="230">
        <f>D21/(1+Constants!$D$20)^B21</f>
        <v>1449.9147140930893</v>
      </c>
    </row>
    <row r="22" spans="2:5" x14ac:dyDescent="0.25">
      <c r="B22" s="20">
        <v>17</v>
      </c>
      <c r="C22" s="231">
        <f>SUM(Consumption!$D$10:$D$21)</f>
        <v>8300.0400000000009</v>
      </c>
      <c r="D22" s="229">
        <f>C22*'Grid Power'!K34</f>
        <v>2084.0655888103352</v>
      </c>
      <c r="E22" s="230">
        <f>D22/(1+Constants!$D$20)^B22</f>
        <v>1488.3616212497839</v>
      </c>
    </row>
    <row r="23" spans="2:5" x14ac:dyDescent="0.25">
      <c r="B23" s="20">
        <v>18</v>
      </c>
      <c r="C23" s="231">
        <f>SUM(Consumption!$D$10:$D$21)</f>
        <v>8300.0400000000009</v>
      </c>
      <c r="D23" s="229">
        <f>C23*'Grid Power'!K35</f>
        <v>2182.3116986987729</v>
      </c>
      <c r="E23" s="230">
        <f>D23/(1+Constants!$D$20)^B23</f>
        <v>1527.9659949411005</v>
      </c>
    </row>
    <row r="24" spans="2:5" x14ac:dyDescent="0.25">
      <c r="B24" s="20">
        <v>19</v>
      </c>
      <c r="C24" s="231">
        <f>SUM(Consumption!$D$10:$D$21)</f>
        <v>8300.0400000000009</v>
      </c>
      <c r="D24" s="229">
        <f>C24*'Grid Power'!K36</f>
        <v>2285.3914530184215</v>
      </c>
      <c r="E24" s="230">
        <f>D24/(1+Constants!$D$20)^B24</f>
        <v>1568.7629914677998</v>
      </c>
    </row>
    <row r="25" spans="2:5" x14ac:dyDescent="0.25">
      <c r="B25" s="57">
        <v>20</v>
      </c>
      <c r="C25" s="58">
        <f>SUM(Consumption!$D$10:$D$21)</f>
        <v>8300.0400000000009</v>
      </c>
      <c r="D25" s="59">
        <f>C25*'Grid Power'!K37</f>
        <v>2393.5474756774643</v>
      </c>
      <c r="E25" s="62">
        <f>D25/(1+Constants!$D$20)^B25</f>
        <v>1610.7888355640896</v>
      </c>
    </row>
    <row r="26" spans="2:5" x14ac:dyDescent="0.25">
      <c r="B26" s="20">
        <v>21</v>
      </c>
      <c r="C26" s="231">
        <f>SUM(Consumption!$D$10:$D$21)</f>
        <v>8300.0400000000009</v>
      </c>
      <c r="D26" s="229">
        <f>C26*'Grid Power'!K38</f>
        <v>2507.034678780331</v>
      </c>
      <c r="E26" s="230">
        <f>D26/(1+Constants!$D$20)^B26</f>
        <v>1654.08085286954</v>
      </c>
    </row>
    <row r="27" spans="2:5" x14ac:dyDescent="0.25">
      <c r="B27" s="20">
        <v>22</v>
      </c>
      <c r="C27" s="231">
        <f>SUM(Consumption!$D$10:$D$21)</f>
        <v>8300.0400000000009</v>
      </c>
      <c r="D27" s="229">
        <f>C27*'Grid Power'!K39</f>
        <v>2626.1208874419963</v>
      </c>
      <c r="E27" s="230">
        <f>D27/(1+Constants!$D$20)^B27</f>
        <v>1698.6775033878853</v>
      </c>
    </row>
    <row r="28" spans="2:5" x14ac:dyDescent="0.25">
      <c r="B28" s="20">
        <v>23</v>
      </c>
      <c r="C28" s="231">
        <f>SUM(Consumption!$D$10:$D$21)</f>
        <v>8300.0400000000009</v>
      </c>
      <c r="D28" s="229">
        <f>C28*'Grid Power'!K40</f>
        <v>2751.0874964263717</v>
      </c>
      <c r="E28" s="230">
        <f>D28/(1+Constants!$D$20)^B28</f>
        <v>1744.6184159627187</v>
      </c>
    </row>
    <row r="29" spans="2:5" x14ac:dyDescent="0.25">
      <c r="B29" s="20">
        <v>24</v>
      </c>
      <c r="C29" s="231">
        <f>SUM(Consumption!$D$10:$D$21)</f>
        <v>8300.0400000000009</v>
      </c>
      <c r="D29" s="229">
        <f>C29*'Grid Power'!K41</f>
        <v>2882.2301602308967</v>
      </c>
      <c r="E29" s="230">
        <f>D29/(1+Constants!$D$20)^B29</f>
        <v>1791.9444238009685</v>
      </c>
    </row>
    <row r="30" spans="2:5" x14ac:dyDescent="0.25">
      <c r="B30" s="20">
        <v>25</v>
      </c>
      <c r="C30" s="231">
        <f>SUM(Consumption!$D$10:$D$21)</f>
        <v>8300.0400000000009</v>
      </c>
      <c r="D30" s="229">
        <f>C30*'Grid Power'!K42</f>
        <v>3019.8595183221614</v>
      </c>
      <c r="E30" s="230">
        <f>D30/(1+Constants!$D$20)^B30</f>
        <v>1840.6976010760172</v>
      </c>
    </row>
    <row r="31" spans="2:5" x14ac:dyDescent="0.25">
      <c r="B31" s="20">
        <v>26</v>
      </c>
      <c r="C31" s="231">
        <f>SUM(Consumption!$D$10:$D$21)</f>
        <v>8300.0400000000009</v>
      </c>
      <c r="D31" s="229">
        <f>C31*'Grid Power'!K43</f>
        <v>3164.3019573143101</v>
      </c>
      <c r="E31" s="230">
        <f>D31/(1+Constants!$D$20)^B31</f>
        <v>1890.9213006432642</v>
      </c>
    </row>
    <row r="32" spans="2:5" x14ac:dyDescent="0.25">
      <c r="B32" s="20">
        <v>27</v>
      </c>
      <c r="C32" s="231">
        <f>SUM(Consumption!$D$10:$D$21)</f>
        <v>8300.0400000000009</v>
      </c>
      <c r="D32" s="229">
        <f>C32*'Grid Power'!K44</f>
        <v>3315.9004119733277</v>
      </c>
      <c r="E32" s="230">
        <f>D32/(1+Constants!$D$20)^B32</f>
        <v>1942.6601929019441</v>
      </c>
    </row>
    <row r="33" spans="2:5" x14ac:dyDescent="0.25">
      <c r="B33" s="20">
        <v>28</v>
      </c>
      <c r="C33" s="231">
        <f>SUM(Consumption!$D$10:$D$21)</f>
        <v>8300.0400000000009</v>
      </c>
      <c r="D33" s="229">
        <f>C33*'Grid Power'!K45</f>
        <v>3475.0152070263471</v>
      </c>
      <c r="E33" s="230">
        <f>D33/(1+Constants!$D$20)^B33</f>
        <v>1995.9603058380428</v>
      </c>
    </row>
    <row r="34" spans="2:5" x14ac:dyDescent="0.25">
      <c r="B34" s="20">
        <v>29</v>
      </c>
      <c r="C34" s="231">
        <f>SUM(Consumption!$D$10:$D$21)</f>
        <v>8300.0400000000009</v>
      </c>
      <c r="D34" s="229">
        <f>C34*'Grid Power'!K46</f>
        <v>3642.0249418560024</v>
      </c>
      <c r="E34" s="230">
        <f>D34/(1+Constants!$D$20)^B34</f>
        <v>2050.869066284205</v>
      </c>
    </row>
    <row r="35" spans="2:5" x14ac:dyDescent="0.25">
      <c r="B35" s="20">
        <v>30</v>
      </c>
      <c r="C35" s="231">
        <f>SUM(Consumption!$D$10:$D$21)</f>
        <v>8300.0400000000009</v>
      </c>
      <c r="D35" s="229">
        <f>C35*'Grid Power'!K47</f>
        <v>3817.3274202659391</v>
      </c>
      <c r="E35" s="230">
        <f>D35/(1+Constants!$D$20)^B35</f>
        <v>2107.4353424336114</v>
      </c>
    </row>
    <row r="36" spans="2:5" x14ac:dyDescent="0.25">
      <c r="B36" s="20">
        <v>31</v>
      </c>
      <c r="C36" s="231">
        <f>SUM(Consumption!$D$10:$D$21)</f>
        <v>8300.0400000000009</v>
      </c>
      <c r="D36" s="229">
        <f>C36*'Grid Power'!K48</f>
        <v>4001.3406276150395</v>
      </c>
      <c r="E36" s="230">
        <f>D36/(1+Constants!$D$20)^B36</f>
        <v>2165.7094876459555</v>
      </c>
    </row>
    <row r="37" spans="2:5" x14ac:dyDescent="0.25">
      <c r="B37" s="20">
        <v>32</v>
      </c>
      <c r="C37" s="231">
        <f>SUM(Consumption!$D$10:$D$21)</f>
        <v>8300.0400000000009</v>
      </c>
      <c r="D37" s="229">
        <f>C37*'Grid Power'!K49</f>
        <v>4194.5037577350849</v>
      </c>
      <c r="E37" s="230">
        <f>D37/(1+Constants!$D$20)^B37</f>
        <v>2225.7433855847653</v>
      </c>
    </row>
    <row r="38" spans="2:5" x14ac:dyDescent="0.25">
      <c r="B38" s="20">
        <v>33</v>
      </c>
      <c r="C38" s="231">
        <f>SUM(Consumption!$D$10:$D$21)</f>
        <v>8300.0400000000009</v>
      </c>
      <c r="D38" s="229">
        <f>C38*'Grid Power'!K50</f>
        <v>4397.2782921697099</v>
      </c>
      <c r="E38" s="230">
        <f>D38/(1+Constants!$D$20)^B38</f>
        <v>2287.5904967265615</v>
      </c>
    </row>
    <row r="39" spans="2:5" x14ac:dyDescent="0.25">
      <c r="B39" s="20">
        <v>34</v>
      </c>
      <c r="C39" s="231">
        <f>SUM(Consumption!$D$10:$D$21)</f>
        <v>8300.0400000000009</v>
      </c>
      <c r="D39" s="229">
        <f>C39*'Grid Power'!K51</f>
        <v>4610.1491344018832</v>
      </c>
      <c r="E39" s="230">
        <f>D39/(1+Constants!$D$20)^B39</f>
        <v>2351.3059062835123</v>
      </c>
    </row>
    <row r="40" spans="2:5" x14ac:dyDescent="0.25">
      <c r="B40" s="20">
        <v>35</v>
      </c>
      <c r="C40" s="231">
        <f>SUM(Consumption!$D$10:$D$21)</f>
        <v>8300.0400000000009</v>
      </c>
      <c r="D40" s="229">
        <f>C40*'Grid Power'!K52</f>
        <v>4833.6258018731905</v>
      </c>
      <c r="E40" s="230">
        <f>D40/(1+Constants!$D$20)^B40</f>
        <v>2416.9463735825711</v>
      </c>
    </row>
    <row r="41" spans="2:5" x14ac:dyDescent="0.25">
      <c r="B41" s="20">
        <v>36</v>
      </c>
      <c r="C41" s="231">
        <f>SUM(Consumption!$D$10:$D$21)</f>
        <v>8300.0400000000009</v>
      </c>
      <c r="D41" s="229">
        <f>C41*'Grid Power'!K53</f>
        <v>5068.2436787411061</v>
      </c>
      <c r="E41" s="230">
        <f>D41/(1+Constants!$D$20)^B41</f>
        <v>2484.5703829453537</v>
      </c>
    </row>
    <row r="42" spans="2:5" x14ac:dyDescent="0.25">
      <c r="B42" s="20">
        <v>37</v>
      </c>
      <c r="C42" s="231">
        <f>SUM(Consumption!$D$10:$D$21)</f>
        <v>8300.0400000000009</v>
      </c>
      <c r="D42" s="229">
        <f>C42*'Grid Power'!K54</f>
        <v>5314.5653324706764</v>
      </c>
      <c r="E42" s="230">
        <f>D42/(1+Constants!$D$20)^B42</f>
        <v>2554.2381961143528</v>
      </c>
    </row>
    <row r="43" spans="2:5" x14ac:dyDescent="0.25">
      <c r="B43" s="20">
        <v>38</v>
      </c>
      <c r="C43" s="231">
        <f>SUM(Consumption!$D$10:$D$21)</f>
        <v>8300.0400000000009</v>
      </c>
      <c r="D43" s="229">
        <f>C43*'Grid Power'!K55</f>
        <v>5573.1818975149581</v>
      </c>
      <c r="E43" s="230">
        <f>D43/(1+Constants!$D$20)^B43</f>
        <v>2626.0119062725157</v>
      </c>
    </row>
    <row r="44" spans="2:5" x14ac:dyDescent="0.25">
      <c r="B44" s="20">
        <v>39</v>
      </c>
      <c r="C44" s="231">
        <f>SUM(Consumption!$D$10:$D$21)</f>
        <v>8300.0400000000009</v>
      </c>
      <c r="D44" s="229">
        <f>C44*'Grid Power'!K56</f>
        <v>5844.7145295044402</v>
      </c>
      <c r="E44" s="230">
        <f>D44/(1+Constants!$D$20)^B44</f>
        <v>2699.9554937045791</v>
      </c>
    </row>
    <row r="45" spans="2:5" x14ac:dyDescent="0.25">
      <c r="B45" s="57">
        <v>40</v>
      </c>
      <c r="C45" s="58">
        <f>SUM(Consumption!$D$10:$D$21)</f>
        <v>8300.0400000000009</v>
      </c>
      <c r="D45" s="59">
        <f>C45*'Grid Power'!K57</f>
        <v>6129.8159335401424</v>
      </c>
      <c r="E45" s="62">
        <f>D45/(1+Constants!$D$20)^B45</f>
        <v>2776.1348831500727</v>
      </c>
    </row>
  </sheetData>
  <mergeCells count="2">
    <mergeCell ref="B3:B4"/>
    <mergeCell ref="G9:H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B65B-9F2A-45E0-91BF-AAB2AF956492}">
  <sheetPr>
    <tabColor rgb="FF00B050"/>
  </sheetPr>
  <dimension ref="B2:AH130"/>
  <sheetViews>
    <sheetView showGridLines="0" topLeftCell="A55" zoomScale="70" zoomScaleNormal="70" zoomScaleSheetLayoutView="50" zoomScalePageLayoutView="60" workbookViewId="0">
      <selection activeCell="K17" sqref="K17"/>
    </sheetView>
  </sheetViews>
  <sheetFormatPr defaultColWidth="8.85546875" defaultRowHeight="16.5" x14ac:dyDescent="0.3"/>
  <cols>
    <col min="1" max="1" width="8.85546875" style="84"/>
    <col min="2" max="2" width="14.28515625" style="84" bestFit="1" customWidth="1"/>
    <col min="3" max="3" width="9.7109375" style="84" bestFit="1" customWidth="1"/>
    <col min="4" max="4" width="6.42578125" style="84" bestFit="1" customWidth="1"/>
    <col min="5" max="5" width="8.85546875" style="84"/>
    <col min="6" max="6" width="9" style="84" bestFit="1" customWidth="1"/>
    <col min="7" max="7" width="13" style="84" customWidth="1"/>
    <col min="8" max="8" width="6.7109375" style="84" bestFit="1" customWidth="1"/>
    <col min="9" max="9" width="14.42578125" style="84" bestFit="1" customWidth="1"/>
    <col min="10" max="11" width="14" style="84" bestFit="1" customWidth="1"/>
    <col min="12" max="12" width="16.42578125" style="84" bestFit="1" customWidth="1"/>
    <col min="13" max="13" width="15.7109375" style="84" bestFit="1" customWidth="1"/>
    <col min="14" max="14" width="11" style="84" bestFit="1" customWidth="1"/>
    <col min="15" max="15" width="10.7109375" style="84" bestFit="1" customWidth="1"/>
    <col min="16" max="16" width="11" style="84" bestFit="1" customWidth="1"/>
    <col min="17" max="17" width="13.140625" style="84" bestFit="1" customWidth="1"/>
    <col min="18" max="18" width="19.140625" style="84" bestFit="1" customWidth="1"/>
    <col min="19" max="19" width="14.85546875" style="84" bestFit="1" customWidth="1"/>
    <col min="20" max="20" width="10.7109375" style="84" bestFit="1" customWidth="1"/>
    <col min="21" max="21" width="12.5703125" style="84" bestFit="1" customWidth="1"/>
    <col min="22" max="22" width="19" style="84" bestFit="1" customWidth="1"/>
    <col min="23" max="23" width="9.42578125" style="84" bestFit="1" customWidth="1"/>
    <col min="24" max="24" width="13.140625" style="84" bestFit="1" customWidth="1"/>
    <col min="25" max="25" width="14.42578125" style="84" bestFit="1" customWidth="1"/>
    <col min="26" max="26" width="2.85546875" style="84" customWidth="1"/>
    <col min="27" max="27" width="15.140625" style="84" bestFit="1" customWidth="1"/>
    <col min="28" max="28" width="20" style="84" bestFit="1" customWidth="1"/>
    <col min="29" max="29" width="7.42578125" style="84" bestFit="1" customWidth="1"/>
    <col min="30" max="16384" width="8.85546875" style="84"/>
  </cols>
  <sheetData>
    <row r="2" spans="2:34" ht="129" x14ac:dyDescent="2.2000000000000002">
      <c r="B2" s="83" t="s">
        <v>225</v>
      </c>
      <c r="L2" s="113"/>
    </row>
    <row r="3" spans="2:34" x14ac:dyDescent="0.3">
      <c r="B3" s="275" t="s">
        <v>149</v>
      </c>
      <c r="C3" s="275"/>
      <c r="D3" s="275"/>
      <c r="F3" s="275" t="s">
        <v>199</v>
      </c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</row>
    <row r="4" spans="2:34" x14ac:dyDescent="0.3">
      <c r="B4" s="95" t="s">
        <v>94</v>
      </c>
      <c r="C4" s="275" t="s">
        <v>150</v>
      </c>
      <c r="D4" s="275"/>
      <c r="F4" s="275" t="s">
        <v>56</v>
      </c>
      <c r="G4" s="275" t="s">
        <v>116</v>
      </c>
      <c r="H4" s="275"/>
      <c r="I4" s="275"/>
      <c r="J4" s="277" t="s">
        <v>6</v>
      </c>
      <c r="K4" s="278"/>
      <c r="L4" s="278"/>
      <c r="M4" s="279"/>
      <c r="N4" s="277" t="s">
        <v>164</v>
      </c>
      <c r="O4" s="278"/>
      <c r="P4" s="279"/>
      <c r="Q4" s="275" t="s">
        <v>174</v>
      </c>
      <c r="R4" s="275"/>
      <c r="S4" s="275"/>
      <c r="T4" s="275"/>
      <c r="U4" s="275"/>
      <c r="V4" s="275"/>
      <c r="W4" s="275"/>
      <c r="X4" s="275" t="s">
        <v>195</v>
      </c>
      <c r="Y4" s="275"/>
      <c r="AA4" s="90" t="s">
        <v>192</v>
      </c>
      <c r="AB4" s="91">
        <f>IRR(X7:X12)</f>
        <v>-0.15347709364666129</v>
      </c>
    </row>
    <row r="5" spans="2:34" x14ac:dyDescent="0.3">
      <c r="B5" s="99">
        <v>1</v>
      </c>
      <c r="C5" s="101">
        <f>Weather!I8*Configurations!$C$24*(1-Constants!$N$9)</f>
        <v>13753.440772326237</v>
      </c>
      <c r="D5" s="144" t="s">
        <v>151</v>
      </c>
      <c r="F5" s="275"/>
      <c r="G5" s="280" t="s">
        <v>152</v>
      </c>
      <c r="H5" s="92" t="s">
        <v>167</v>
      </c>
      <c r="I5" s="92" t="s">
        <v>168</v>
      </c>
      <c r="J5" s="92" t="s">
        <v>160</v>
      </c>
      <c r="K5" s="92" t="s">
        <v>139</v>
      </c>
      <c r="L5" s="92" t="s">
        <v>162</v>
      </c>
      <c r="M5" s="92" t="s">
        <v>224</v>
      </c>
      <c r="N5" s="92" t="s">
        <v>161</v>
      </c>
      <c r="O5" s="92" t="s">
        <v>163</v>
      </c>
      <c r="P5" s="92" t="s">
        <v>146</v>
      </c>
      <c r="Q5" s="92" t="s">
        <v>172</v>
      </c>
      <c r="R5" s="92" t="s">
        <v>175</v>
      </c>
      <c r="S5" s="92" t="s">
        <v>169</v>
      </c>
      <c r="T5" s="92" t="s">
        <v>8</v>
      </c>
      <c r="U5" s="92" t="s">
        <v>171</v>
      </c>
      <c r="V5" s="92" t="s">
        <v>170</v>
      </c>
      <c r="W5" s="92" t="s">
        <v>173</v>
      </c>
      <c r="X5" s="92" t="s">
        <v>194</v>
      </c>
      <c r="Y5" s="92" t="s">
        <v>194</v>
      </c>
      <c r="Z5" s="93"/>
      <c r="AA5" s="90" t="s">
        <v>193</v>
      </c>
      <c r="AB5" s="94">
        <f>IRR(Y7:Y12)</f>
        <v>-0.17007558200653017</v>
      </c>
    </row>
    <row r="6" spans="2:34" x14ac:dyDescent="0.3">
      <c r="B6" s="99">
        <v>2</v>
      </c>
      <c r="C6" s="101">
        <f>Weather!I9*Configurations!$C$24*(1-Constants!$N$9)</f>
        <v>20806.764887288791</v>
      </c>
      <c r="D6" s="144" t="s">
        <v>151</v>
      </c>
      <c r="F6" s="276"/>
      <c r="G6" s="281"/>
      <c r="H6" s="135" t="s">
        <v>62</v>
      </c>
      <c r="I6" s="135" t="s">
        <v>62</v>
      </c>
      <c r="J6" s="135" t="s">
        <v>59</v>
      </c>
      <c r="K6" s="135" t="s">
        <v>59</v>
      </c>
      <c r="L6" s="135" t="s">
        <v>59</v>
      </c>
      <c r="M6" s="135" t="s">
        <v>59</v>
      </c>
      <c r="N6" s="135" t="s">
        <v>59</v>
      </c>
      <c r="O6" s="135" t="s">
        <v>59</v>
      </c>
      <c r="P6" s="135" t="s">
        <v>59</v>
      </c>
      <c r="Q6" s="135" t="s">
        <v>59</v>
      </c>
      <c r="R6" s="135" t="s">
        <v>59</v>
      </c>
      <c r="S6" s="135" t="s">
        <v>59</v>
      </c>
      <c r="T6" s="135" t="s">
        <v>59</v>
      </c>
      <c r="U6" s="135" t="s">
        <v>59</v>
      </c>
      <c r="V6" s="135" t="s">
        <v>59</v>
      </c>
      <c r="W6" s="135" t="s">
        <v>59</v>
      </c>
      <c r="X6" s="135" t="s">
        <v>59</v>
      </c>
      <c r="Y6" s="219" t="s">
        <v>176</v>
      </c>
      <c r="AA6" s="96" t="s">
        <v>196</v>
      </c>
      <c r="AB6" s="97">
        <f>NPV(Constants!$D$21,'Analysis (A)'!Y8:Y12)+'Analysis (A)'!Y7</f>
        <v>-978.93637328513273</v>
      </c>
    </row>
    <row r="7" spans="2:34" x14ac:dyDescent="0.3">
      <c r="B7" s="99">
        <v>3</v>
      </c>
      <c r="C7" s="101">
        <f>Weather!I10*Configurations!$C$24*(1-Constants!$N$9)</f>
        <v>37817.839176906076</v>
      </c>
      <c r="D7" s="144" t="s">
        <v>151</v>
      </c>
      <c r="F7" s="154">
        <v>0</v>
      </c>
      <c r="G7" s="299">
        <v>1</v>
      </c>
      <c r="H7" s="156">
        <v>0</v>
      </c>
      <c r="I7" s="156">
        <v>0</v>
      </c>
      <c r="J7" s="157">
        <v>0</v>
      </c>
      <c r="K7" s="158">
        <f>Configurations!$C$18</f>
        <v>2037.9749999999999</v>
      </c>
      <c r="L7" s="158">
        <v>0</v>
      </c>
      <c r="M7" s="158">
        <v>0</v>
      </c>
      <c r="N7" s="158">
        <f>Configurations!$C$24*(Incentives!$C$5+Incentives!$C$6)</f>
        <v>360</v>
      </c>
      <c r="O7" s="158">
        <f>IF(H7&lt;I7,0,H7-I7)</f>
        <v>0</v>
      </c>
      <c r="P7" s="158">
        <v>0</v>
      </c>
      <c r="Q7" s="157">
        <f>N7+O7+P7-L7-K7-J7-M7</f>
        <v>-1677.9749999999999</v>
      </c>
      <c r="R7" s="157">
        <f>'Analysis (A)'!Q7+'Analysis (Nothing)'!D5</f>
        <v>-1677.9749999999999</v>
      </c>
      <c r="S7" s="157">
        <f>$K$7/2</f>
        <v>1018.9875</v>
      </c>
      <c r="T7" s="158">
        <v>0</v>
      </c>
      <c r="U7" s="157">
        <f>S7-T7</f>
        <v>1018.9875</v>
      </c>
      <c r="V7" s="158">
        <f>IF(R7&lt;0, 0,R7-T7)</f>
        <v>0</v>
      </c>
      <c r="W7" s="157">
        <f>V7*Constants!$D$23</f>
        <v>0</v>
      </c>
      <c r="X7" s="157">
        <f t="shared" ref="X7:X12" si="0">R7-W7</f>
        <v>-1677.9749999999999</v>
      </c>
      <c r="Y7" s="159">
        <f>X7*(1+Constants!$D$20)^-F7</f>
        <v>-1677.9749999999999</v>
      </c>
      <c r="AA7" s="90" t="s">
        <v>197</v>
      </c>
      <c r="AB7" s="105">
        <f>PMT(Constants!$D$21,5,-'Analysis (A)'!AB6)</f>
        <v>-213.75523221710947</v>
      </c>
    </row>
    <row r="8" spans="2:34" x14ac:dyDescent="0.3">
      <c r="B8" s="99">
        <v>4</v>
      </c>
      <c r="C8" s="101">
        <f>Weather!I11*Configurations!$C$24*(1-Constants!$N$9)</f>
        <v>65097.661234867322</v>
      </c>
      <c r="D8" s="144" t="s">
        <v>151</v>
      </c>
      <c r="F8" s="99">
        <v>1</v>
      </c>
      <c r="G8" s="298">
        <f>G7*(1-Constants!$D$11)</f>
        <v>0.995</v>
      </c>
      <c r="H8" s="101">
        <f>$C$17*(G8-Constants!$N$16)</f>
        <v>735.19983615247315</v>
      </c>
      <c r="I8" s="101">
        <f>Consumption!$C$2-'Analysis (A)'!H8</f>
        <v>7564.8001638475271</v>
      </c>
      <c r="J8" s="102">
        <f>I8*'Grid Power'!K18</f>
        <v>921.39753168793436</v>
      </c>
      <c r="K8" s="103">
        <v>0</v>
      </c>
      <c r="L8" s="103">
        <f>Configurations!$C$24*Constants!$D$63</f>
        <v>4</v>
      </c>
      <c r="M8" s="103">
        <v>0</v>
      </c>
      <c r="N8" s="103">
        <v>0</v>
      </c>
      <c r="O8" s="103">
        <f t="shared" ref="O8:O11" si="1">IF(H8&lt;I8,0,H8-I8)</f>
        <v>0</v>
      </c>
      <c r="P8" s="103">
        <v>0</v>
      </c>
      <c r="Q8" s="102">
        <f t="shared" ref="Q8:Q12" si="2">N8+O8+P8-L8-K8-J8-M8</f>
        <v>-925.39753168793436</v>
      </c>
      <c r="R8" s="102">
        <f>'Analysis (A)'!Q8+'Analysis (Nothing)'!D6</f>
        <v>85.55268553782571</v>
      </c>
      <c r="S8" s="102">
        <f>$K$7/2</f>
        <v>1018.9875</v>
      </c>
      <c r="T8" s="102">
        <f>U7*Configurations!$G$6</f>
        <v>305.69624999999996</v>
      </c>
      <c r="U8" s="102">
        <f>U7+S8-T8</f>
        <v>1732.2787499999999</v>
      </c>
      <c r="V8" s="103">
        <f>IF(R8&lt;0, 0,IF(R8-T8&lt;0,0,R8-T8))</f>
        <v>0</v>
      </c>
      <c r="W8" s="102">
        <f>V8*Constants!$D$23</f>
        <v>0</v>
      </c>
      <c r="X8" s="102">
        <f t="shared" si="0"/>
        <v>85.55268553782571</v>
      </c>
      <c r="Y8" s="104">
        <f>X8*(1+Constants!$D$20)^-F8</f>
        <v>83.87518189982913</v>
      </c>
    </row>
    <row r="9" spans="2:34" x14ac:dyDescent="0.3">
      <c r="B9" s="99">
        <v>5</v>
      </c>
      <c r="C9" s="101">
        <f>Weather!I12*Configurations!$C$24*(1-Constants!$N$9)</f>
        <v>96641.853344306641</v>
      </c>
      <c r="D9" s="144" t="s">
        <v>151</v>
      </c>
      <c r="F9" s="99">
        <v>2</v>
      </c>
      <c r="G9" s="298">
        <f>G8*(1-Constants!$D$11)</f>
        <v>0.99002500000000004</v>
      </c>
      <c r="H9" s="101">
        <f>$C$17*(G9-Constants!$N$16)</f>
        <v>731.44843186031051</v>
      </c>
      <c r="I9" s="101">
        <f>Consumption!$C$2-'Analysis (A)'!H9</f>
        <v>7568.5515681396892</v>
      </c>
      <c r="J9" s="102">
        <f>I9*'Grid Power'!K19</f>
        <v>963.6924751491257</v>
      </c>
      <c r="K9" s="103">
        <v>0</v>
      </c>
      <c r="L9" s="103">
        <f>Configurations!$C$24*Constants!$D$63</f>
        <v>4</v>
      </c>
      <c r="M9" s="103">
        <v>0</v>
      </c>
      <c r="N9" s="103">
        <v>0</v>
      </c>
      <c r="O9" s="103">
        <f t="shared" si="1"/>
        <v>0</v>
      </c>
      <c r="P9" s="103">
        <v>0</v>
      </c>
      <c r="Q9" s="102">
        <f t="shared" si="2"/>
        <v>-967.6924751491257</v>
      </c>
      <c r="R9" s="102">
        <f>'Analysis (A)'!Q9+'Analysis (Nothing)'!D7</f>
        <v>89.139339951103125</v>
      </c>
      <c r="S9" s="103">
        <v>0</v>
      </c>
      <c r="T9" s="102">
        <f>U8*Configurations!$G$6</f>
        <v>519.68362500000001</v>
      </c>
      <c r="U9" s="102">
        <f>U8+S9-T9</f>
        <v>1212.5951249999998</v>
      </c>
      <c r="V9" s="103">
        <f t="shared" ref="V9:V12" si="3">IF(R9&lt;0, 0,IF(R9-T9&lt;0,0,R9-T9))</f>
        <v>0</v>
      </c>
      <c r="W9" s="102">
        <f>V9*Constants!$D$23</f>
        <v>0</v>
      </c>
      <c r="X9" s="102">
        <f t="shared" si="0"/>
        <v>89.139339951103125</v>
      </c>
      <c r="Y9" s="104">
        <f>X9*(1+Constants!$D$20)^-F9</f>
        <v>85.677950741160259</v>
      </c>
      <c r="AH9" s="89"/>
    </row>
    <row r="10" spans="2:34" x14ac:dyDescent="0.3">
      <c r="B10" s="99">
        <v>6</v>
      </c>
      <c r="C10" s="101">
        <f>Weather!I13*Configurations!$C$24*(1-Constants!$N$9)</f>
        <v>120434.00554437317</v>
      </c>
      <c r="D10" s="144" t="s">
        <v>151</v>
      </c>
      <c r="F10" s="99">
        <v>3</v>
      </c>
      <c r="G10" s="298">
        <f>G9*(1-Constants!$D$11)</f>
        <v>0.98507487500000002</v>
      </c>
      <c r="H10" s="101">
        <f>$C$17*(G10-Constants!$N$16)</f>
        <v>727.71578458960869</v>
      </c>
      <c r="I10" s="101">
        <f>Consumption!$C$2-'Analysis (A)'!H10</f>
        <v>7572.284215410391</v>
      </c>
      <c r="J10" s="102">
        <f>I10*'Grid Power'!K20</f>
        <v>1008.0472521314581</v>
      </c>
      <c r="K10" s="103">
        <v>0</v>
      </c>
      <c r="L10" s="103">
        <f>Configurations!$C$24*Constants!$D$63</f>
        <v>4</v>
      </c>
      <c r="M10" s="103">
        <v>0</v>
      </c>
      <c r="N10" s="103">
        <v>0</v>
      </c>
      <c r="O10" s="103">
        <f t="shared" si="1"/>
        <v>0</v>
      </c>
      <c r="P10" s="103">
        <v>0</v>
      </c>
      <c r="Q10" s="102">
        <f t="shared" si="2"/>
        <v>-1012.0472521314581</v>
      </c>
      <c r="R10" s="102">
        <f>'Analysis (A)'!Q10+'Analysis (Nothing)'!D8</f>
        <v>92.881231344348066</v>
      </c>
      <c r="S10" s="103">
        <v>0</v>
      </c>
      <c r="T10" s="102">
        <f>U9*Configurations!$G$6</f>
        <v>363.77853749999991</v>
      </c>
      <c r="U10" s="102">
        <f>U9+S10-T10</f>
        <v>848.81658749999997</v>
      </c>
      <c r="V10" s="103">
        <f t="shared" si="3"/>
        <v>0</v>
      </c>
      <c r="W10" s="102">
        <f>V10*Constants!$D$23</f>
        <v>0</v>
      </c>
      <c r="X10" s="102">
        <f t="shared" si="0"/>
        <v>92.881231344348066</v>
      </c>
      <c r="Y10" s="104">
        <f>X10*(1+Constants!$D$20)^-F10</f>
        <v>87.524058756010206</v>
      </c>
      <c r="AH10" s="89"/>
    </row>
    <row r="11" spans="2:34" x14ac:dyDescent="0.3">
      <c r="B11" s="99">
        <v>7</v>
      </c>
      <c r="C11" s="101">
        <f>Weather!I14*Configurations!$C$24*(1-Constants!$N$9)</f>
        <v>125226.58248630546</v>
      </c>
      <c r="D11" s="144" t="s">
        <v>151</v>
      </c>
      <c r="F11" s="99">
        <v>4</v>
      </c>
      <c r="G11" s="298">
        <f>G10*(1-Constants!$D$11)</f>
        <v>0.98014950062500006</v>
      </c>
      <c r="H11" s="101">
        <f>$C$17*(G11-Constants!$N$16)</f>
        <v>724.0018005552605</v>
      </c>
      <c r="I11" s="101">
        <f>Consumption!$C$2-'Analysis (A)'!H11</f>
        <v>7575.9981994447398</v>
      </c>
      <c r="J11" s="102">
        <f>I11*'Grid Power'!K21</f>
        <v>1054.5651440859244</v>
      </c>
      <c r="K11" s="103">
        <v>0</v>
      </c>
      <c r="L11" s="103">
        <f>Configurations!$C$24*Constants!$D$63</f>
        <v>4</v>
      </c>
      <c r="M11" s="103">
        <v>0</v>
      </c>
      <c r="N11" s="103">
        <v>0</v>
      </c>
      <c r="O11" s="103">
        <f t="shared" si="1"/>
        <v>0</v>
      </c>
      <c r="P11" s="103">
        <v>0</v>
      </c>
      <c r="Q11" s="102">
        <f t="shared" si="2"/>
        <v>-1058.5651440859244</v>
      </c>
      <c r="R11" s="102">
        <f>'Analysis (A)'!Q11+'Analysis (Nothing)'!D9</f>
        <v>96.785299260334114</v>
      </c>
      <c r="S11" s="103">
        <v>0</v>
      </c>
      <c r="T11" s="102">
        <f>U10*Configurations!$G$6</f>
        <v>254.64497624999998</v>
      </c>
      <c r="U11" s="102">
        <f>U10+S11-T11</f>
        <v>594.17161124999996</v>
      </c>
      <c r="V11" s="103">
        <f t="shared" si="3"/>
        <v>0</v>
      </c>
      <c r="W11" s="102">
        <f>V11*Constants!$D$23</f>
        <v>0</v>
      </c>
      <c r="X11" s="102">
        <f t="shared" si="0"/>
        <v>96.785299260334114</v>
      </c>
      <c r="Y11" s="104">
        <f>X11*(1+Constants!$D$20)^-F11</f>
        <v>89.414656028267046</v>
      </c>
    </row>
    <row r="12" spans="2:34" x14ac:dyDescent="0.3">
      <c r="B12" s="99">
        <v>8</v>
      </c>
      <c r="C12" s="101">
        <f>Weather!I15*Configurations!$C$24*(1-Constants!$N$9)</f>
        <v>108433.79109665324</v>
      </c>
      <c r="D12" s="144" t="s">
        <v>151</v>
      </c>
      <c r="F12" s="107">
        <v>5</v>
      </c>
      <c r="G12" s="300">
        <f>G11*(1-Constants!$D$11)</f>
        <v>0.97524875312187509</v>
      </c>
      <c r="H12" s="109">
        <f>$C$17*(G12-Constants!$N$16)</f>
        <v>720.30638644108387</v>
      </c>
      <c r="I12" s="109">
        <f>Consumption!$C$2-'Analysis (A)'!H12</f>
        <v>7579.6936135589158</v>
      </c>
      <c r="J12" s="110">
        <f>I12*'Grid Power'!K22</f>
        <v>1103.3546792378245</v>
      </c>
      <c r="K12" s="111">
        <v>0</v>
      </c>
      <c r="L12" s="111">
        <f>Configurations!$C$24*Constants!$D$63</f>
        <v>4</v>
      </c>
      <c r="M12" s="111">
        <v>0</v>
      </c>
      <c r="N12" s="111">
        <v>0</v>
      </c>
      <c r="O12" s="111">
        <v>0</v>
      </c>
      <c r="P12" s="111">
        <f>U12</f>
        <v>415.92012787499993</v>
      </c>
      <c r="Q12" s="110">
        <f t="shared" si="2"/>
        <v>-691.43455136282455</v>
      </c>
      <c r="R12" s="110">
        <f>'Analysis (A)'!Q12+'Analysis (Nothing)'!D10</f>
        <v>516.77892516596944</v>
      </c>
      <c r="S12" s="111">
        <v>0</v>
      </c>
      <c r="T12" s="110">
        <f>U11*Configurations!$G$6</f>
        <v>178.25148337499999</v>
      </c>
      <c r="U12" s="110">
        <f>U11+S12-T12</f>
        <v>415.92012787499993</v>
      </c>
      <c r="V12" s="111">
        <f t="shared" si="3"/>
        <v>338.52744179096942</v>
      </c>
      <c r="W12" s="110">
        <f>V12*Constants!$D$23</f>
        <v>33.852744179096945</v>
      </c>
      <c r="X12" s="110">
        <f t="shared" si="0"/>
        <v>482.92618098687251</v>
      </c>
      <c r="Y12" s="112">
        <f>X12*(1+Constants!$D$20)^-F12</f>
        <v>437.40112099330861</v>
      </c>
    </row>
    <row r="13" spans="2:34" x14ac:dyDescent="0.3">
      <c r="B13" s="99">
        <v>9</v>
      </c>
      <c r="C13" s="101">
        <f>Weather!I16*Configurations!$C$24*(1-Constants!$N$9)</f>
        <v>78117.193481840761</v>
      </c>
      <c r="D13" s="144" t="s">
        <v>151</v>
      </c>
    </row>
    <row r="14" spans="2:34" x14ac:dyDescent="0.3">
      <c r="B14" s="99">
        <v>10</v>
      </c>
      <c r="C14" s="101">
        <f>Weather!I17*Configurations!$C$24*(1-Constants!$N$9)</f>
        <v>47272.298971132608</v>
      </c>
      <c r="D14" s="144" t="s">
        <v>151</v>
      </c>
      <c r="F14" s="275" t="s">
        <v>200</v>
      </c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</row>
    <row r="15" spans="2:34" x14ac:dyDescent="0.3">
      <c r="B15" s="99">
        <v>11</v>
      </c>
      <c r="C15" s="101">
        <f>Weather!I18*Configurations!$C$24*(1-Constants!$N$9)</f>
        <v>25468.065935262166</v>
      </c>
      <c r="D15" s="144" t="s">
        <v>151</v>
      </c>
      <c r="F15" s="275" t="s">
        <v>56</v>
      </c>
      <c r="G15" s="275" t="s">
        <v>116</v>
      </c>
      <c r="H15" s="275"/>
      <c r="I15" s="275"/>
      <c r="J15" s="277" t="s">
        <v>6</v>
      </c>
      <c r="K15" s="278"/>
      <c r="L15" s="278"/>
      <c r="M15" s="279"/>
      <c r="N15" s="277" t="s">
        <v>164</v>
      </c>
      <c r="O15" s="278"/>
      <c r="P15" s="279"/>
      <c r="Q15" s="275" t="s">
        <v>174</v>
      </c>
      <c r="R15" s="275"/>
      <c r="S15" s="275"/>
      <c r="T15" s="275"/>
      <c r="U15" s="275"/>
      <c r="V15" s="275"/>
      <c r="W15" s="275"/>
      <c r="X15" s="275" t="s">
        <v>195</v>
      </c>
      <c r="Y15" s="275"/>
      <c r="AA15" s="90" t="s">
        <v>192</v>
      </c>
      <c r="AB15" s="91">
        <f>IRR(X18:X38)</f>
        <v>-3.5027857325875544E-3</v>
      </c>
    </row>
    <row r="16" spans="2:34" x14ac:dyDescent="0.3">
      <c r="B16" s="107">
        <v>12</v>
      </c>
      <c r="C16" s="109">
        <f>Weather!I19*Configurations!$C$24*(1-Constants!$N$9)</f>
        <v>14981.617071274102</v>
      </c>
      <c r="D16" s="145" t="s">
        <v>151</v>
      </c>
      <c r="F16" s="275"/>
      <c r="G16" s="280" t="s">
        <v>152</v>
      </c>
      <c r="H16" s="92" t="s">
        <v>167</v>
      </c>
      <c r="I16" s="92" t="s">
        <v>168</v>
      </c>
      <c r="J16" s="92" t="s">
        <v>160</v>
      </c>
      <c r="K16" s="92" t="s">
        <v>139</v>
      </c>
      <c r="L16" s="92" t="s">
        <v>162</v>
      </c>
      <c r="M16" s="92" t="s">
        <v>224</v>
      </c>
      <c r="N16" s="92" t="s">
        <v>161</v>
      </c>
      <c r="O16" s="92" t="s">
        <v>163</v>
      </c>
      <c r="P16" s="92" t="s">
        <v>146</v>
      </c>
      <c r="Q16" s="92" t="s">
        <v>172</v>
      </c>
      <c r="R16" s="92" t="s">
        <v>175</v>
      </c>
      <c r="S16" s="92" t="s">
        <v>169</v>
      </c>
      <c r="T16" s="92" t="s">
        <v>8</v>
      </c>
      <c r="U16" s="92" t="s">
        <v>171</v>
      </c>
      <c r="V16" s="92" t="s">
        <v>170</v>
      </c>
      <c r="W16" s="92" t="s">
        <v>173</v>
      </c>
      <c r="X16" s="92" t="s">
        <v>194</v>
      </c>
      <c r="Y16" s="92" t="s">
        <v>194</v>
      </c>
      <c r="AA16" s="90" t="s">
        <v>193</v>
      </c>
      <c r="AB16" s="94">
        <f>IRR(Y18:Y38)</f>
        <v>-2.3041946795906654E-2</v>
      </c>
    </row>
    <row r="17" spans="2:30" x14ac:dyDescent="0.3">
      <c r="B17" s="146" t="s">
        <v>87</v>
      </c>
      <c r="C17" s="147">
        <f>SUM(C5:C16)/1000</f>
        <v>754.05111400253656</v>
      </c>
      <c r="D17" s="148" t="s">
        <v>108</v>
      </c>
      <c r="F17" s="276"/>
      <c r="G17" s="281"/>
      <c r="H17" s="135" t="s">
        <v>62</v>
      </c>
      <c r="I17" s="135" t="s">
        <v>62</v>
      </c>
      <c r="J17" s="135" t="s">
        <v>59</v>
      </c>
      <c r="K17" s="135" t="s">
        <v>59</v>
      </c>
      <c r="L17" s="218" t="s">
        <v>59</v>
      </c>
      <c r="M17" s="135" t="s">
        <v>59</v>
      </c>
      <c r="N17" s="135" t="s">
        <v>59</v>
      </c>
      <c r="O17" s="135" t="s">
        <v>59</v>
      </c>
      <c r="P17" s="135" t="s">
        <v>59</v>
      </c>
      <c r="Q17" s="135" t="s">
        <v>59</v>
      </c>
      <c r="R17" s="135" t="s">
        <v>59</v>
      </c>
      <c r="S17" s="135" t="s">
        <v>59</v>
      </c>
      <c r="T17" s="135" t="s">
        <v>59</v>
      </c>
      <c r="U17" s="135" t="s">
        <v>59</v>
      </c>
      <c r="V17" s="135" t="s">
        <v>59</v>
      </c>
      <c r="W17" s="135" t="s">
        <v>59</v>
      </c>
      <c r="X17" s="135" t="s">
        <v>59</v>
      </c>
      <c r="Y17" s="219" t="s">
        <v>176</v>
      </c>
      <c r="AA17" s="96" t="s">
        <v>196</v>
      </c>
      <c r="AB17" s="104">
        <f>NPV(Constants!$D$21,'Analysis (A)'!Y19:Y38)+'Analysis (A)'!Y18</f>
        <v>-773.00558465724566</v>
      </c>
    </row>
    <row r="18" spans="2:30" x14ac:dyDescent="0.3">
      <c r="F18" s="154">
        <v>0</v>
      </c>
      <c r="G18" s="220">
        <v>1</v>
      </c>
      <c r="H18" s="156">
        <v>0</v>
      </c>
      <c r="I18" s="221">
        <v>0</v>
      </c>
      <c r="J18" s="222">
        <v>0</v>
      </c>
      <c r="K18" s="222">
        <f>Configurations!$C$18</f>
        <v>2037.9749999999999</v>
      </c>
      <c r="L18" s="103">
        <v>0</v>
      </c>
      <c r="M18" s="157">
        <v>0</v>
      </c>
      <c r="N18" s="222">
        <f>Configurations!$C$24*(Incentives!$C$5+Incentives!$C$6)</f>
        <v>360</v>
      </c>
      <c r="O18" s="222">
        <f>IF(H18&lt;I18,0,H18-I18)</f>
        <v>0</v>
      </c>
      <c r="P18" s="222">
        <v>0</v>
      </c>
      <c r="Q18" s="222">
        <f>N18+O18+P18-L18-K18-J18-M18</f>
        <v>-1677.9749999999999</v>
      </c>
      <c r="R18" s="222">
        <f>'Analysis (A)'!Q18+'Analysis (Nothing)'!D5</f>
        <v>-1677.9749999999999</v>
      </c>
      <c r="S18" s="222">
        <f>$K$7/2</f>
        <v>1018.9875</v>
      </c>
      <c r="T18" s="222">
        <v>0</v>
      </c>
      <c r="U18" s="222">
        <f>S18-T18</f>
        <v>1018.9875</v>
      </c>
      <c r="V18" s="222">
        <f>IF(R18&lt;0, 0,R18-T18)</f>
        <v>0</v>
      </c>
      <c r="W18" s="222">
        <f>V18*Constants!$D$23</f>
        <v>0</v>
      </c>
      <c r="X18" s="222">
        <f t="shared" ref="X18:X38" si="4">R18-W18</f>
        <v>-1677.9749999999999</v>
      </c>
      <c r="Y18" s="223">
        <f>X18*(1+Constants!$D$20)^-F18</f>
        <v>-1677.9749999999999</v>
      </c>
      <c r="AA18" s="90" t="s">
        <v>197</v>
      </c>
      <c r="AB18" s="105">
        <f>PMT(Constants!$D$21,5,-'Analysis (A)'!AB17)</f>
        <v>-168.78930312808458</v>
      </c>
      <c r="AC18" s="118"/>
      <c r="AD18" s="98"/>
    </row>
    <row r="19" spans="2:30" x14ac:dyDescent="0.3">
      <c r="F19" s="99">
        <v>1</v>
      </c>
      <c r="G19" s="106">
        <f>G18*(1-Constants!$D$11)</f>
        <v>0.995</v>
      </c>
      <c r="H19" s="101">
        <f>$C$17*(G19-Constants!$N$16)</f>
        <v>735.19983615247315</v>
      </c>
      <c r="I19" s="115">
        <f>Consumption!$C$2-'Analysis (A)'!H19</f>
        <v>7564.8001638475271</v>
      </c>
      <c r="J19" s="116">
        <f>I19*'Grid Power'!K18</f>
        <v>921.39753168793436</v>
      </c>
      <c r="K19" s="116">
        <v>0</v>
      </c>
      <c r="L19" s="103">
        <f>Configurations!$C$24*Constants!$D$63</f>
        <v>4</v>
      </c>
      <c r="M19" s="102">
        <v>0</v>
      </c>
      <c r="N19" s="116">
        <v>0</v>
      </c>
      <c r="O19" s="116">
        <f>IF(H19&lt;I19,0,H19-I19)</f>
        <v>0</v>
      </c>
      <c r="P19" s="116">
        <v>0</v>
      </c>
      <c r="Q19" s="116">
        <f t="shared" ref="Q19:Q38" si="5">N19+O19+P19-L19-K19-J19-M19</f>
        <v>-925.39753168793436</v>
      </c>
      <c r="R19" s="116">
        <f>'Analysis (A)'!Q19+'Analysis (Nothing)'!D6</f>
        <v>85.55268553782571</v>
      </c>
      <c r="S19" s="116">
        <f>$K$7/2</f>
        <v>1018.9875</v>
      </c>
      <c r="T19" s="116">
        <f>U18*Configurations!$G$6</f>
        <v>305.69624999999996</v>
      </c>
      <c r="U19" s="116">
        <f t="shared" ref="U19:U38" si="6">U18+S19-T19</f>
        <v>1732.2787499999999</v>
      </c>
      <c r="V19" s="116">
        <f>IF(R19&lt;0, 0,IF(R19-T19&lt;0,0,R19-T19))</f>
        <v>0</v>
      </c>
      <c r="W19" s="116">
        <f>V19*Constants!$D$23</f>
        <v>0</v>
      </c>
      <c r="X19" s="116">
        <f t="shared" si="4"/>
        <v>85.55268553782571</v>
      </c>
      <c r="Y19" s="117">
        <f>X19*(1+Constants!$D$20)^-F19</f>
        <v>83.87518189982913</v>
      </c>
      <c r="AC19" s="118"/>
      <c r="AD19" s="98"/>
    </row>
    <row r="20" spans="2:30" x14ac:dyDescent="0.3">
      <c r="F20" s="99">
        <v>2</v>
      </c>
      <c r="G20" s="106">
        <f>G19*(1-Constants!$D$11)</f>
        <v>0.99002500000000004</v>
      </c>
      <c r="H20" s="101">
        <f>$C$17*(G20-Constants!$N$16)</f>
        <v>731.44843186031051</v>
      </c>
      <c r="I20" s="115">
        <f>Consumption!$C$2-'Analysis (A)'!H20</f>
        <v>7568.5515681396892</v>
      </c>
      <c r="J20" s="116">
        <f>I20*'Grid Power'!K19</f>
        <v>963.6924751491257</v>
      </c>
      <c r="K20" s="116">
        <v>0</v>
      </c>
      <c r="L20" s="103">
        <f>Configurations!$C$24*Constants!$D$63</f>
        <v>4</v>
      </c>
      <c r="M20" s="102">
        <v>0</v>
      </c>
      <c r="N20" s="116">
        <v>0</v>
      </c>
      <c r="O20" s="116">
        <f>IF(H20&lt;I20,0,H20-I20)</f>
        <v>0</v>
      </c>
      <c r="P20" s="116">
        <v>0</v>
      </c>
      <c r="Q20" s="116">
        <f t="shared" si="5"/>
        <v>-967.6924751491257</v>
      </c>
      <c r="R20" s="116">
        <f>'Analysis (A)'!Q20+'Analysis (Nothing)'!D7</f>
        <v>89.139339951103125</v>
      </c>
      <c r="S20" s="116">
        <f>IF(MOD(L20,5)=0,L20/2,0)</f>
        <v>0</v>
      </c>
      <c r="T20" s="116">
        <f>U19*Configurations!$G$6</f>
        <v>519.68362500000001</v>
      </c>
      <c r="U20" s="116">
        <f t="shared" si="6"/>
        <v>1212.5951249999998</v>
      </c>
      <c r="V20" s="116">
        <f t="shared" ref="V20:V28" si="7">IF(R20&lt;0, 0,IF(R20-T20&lt;0,0,R20-T20))</f>
        <v>0</v>
      </c>
      <c r="W20" s="116">
        <f>V20*Constants!$D$23</f>
        <v>0</v>
      </c>
      <c r="X20" s="116">
        <f t="shared" si="4"/>
        <v>89.139339951103125</v>
      </c>
      <c r="Y20" s="117">
        <f>X20*(1+Constants!$D$20)^-F20</f>
        <v>85.677950741160259</v>
      </c>
      <c r="AA20" s="118"/>
      <c r="AC20" s="118"/>
      <c r="AD20" s="98"/>
    </row>
    <row r="21" spans="2:30" x14ac:dyDescent="0.3">
      <c r="F21" s="99">
        <v>3</v>
      </c>
      <c r="G21" s="106">
        <f>G20*(1-Constants!$D$11)</f>
        <v>0.98507487500000002</v>
      </c>
      <c r="H21" s="101">
        <f>$C$17*(G21-Constants!$N$16)</f>
        <v>727.71578458960869</v>
      </c>
      <c r="I21" s="115">
        <f>Consumption!$C$2-'Analysis (A)'!H21</f>
        <v>7572.284215410391</v>
      </c>
      <c r="J21" s="116">
        <f>I21*'Grid Power'!K20</f>
        <v>1008.0472521314581</v>
      </c>
      <c r="K21" s="116">
        <v>0</v>
      </c>
      <c r="L21" s="103">
        <f>Configurations!$C$24*Constants!$D$63</f>
        <v>4</v>
      </c>
      <c r="M21" s="102">
        <v>0</v>
      </c>
      <c r="N21" s="116">
        <v>0</v>
      </c>
      <c r="O21" s="116">
        <f>IF(H21&lt;I21,0,H21-I21)</f>
        <v>0</v>
      </c>
      <c r="P21" s="116">
        <v>0</v>
      </c>
      <c r="Q21" s="116">
        <f t="shared" si="5"/>
        <v>-1012.0472521314581</v>
      </c>
      <c r="R21" s="116">
        <f>'Analysis (A)'!Q21+'Analysis (Nothing)'!D8</f>
        <v>92.881231344348066</v>
      </c>
      <c r="S21" s="116">
        <f t="shared" ref="S21:S22" si="8">IF(MOD(L21,5)=0,L21/2,0)</f>
        <v>0</v>
      </c>
      <c r="T21" s="116">
        <f>U20*Configurations!$G$6</f>
        <v>363.77853749999991</v>
      </c>
      <c r="U21" s="116">
        <f t="shared" si="6"/>
        <v>848.81658749999997</v>
      </c>
      <c r="V21" s="116">
        <f t="shared" si="7"/>
        <v>0</v>
      </c>
      <c r="W21" s="116">
        <f>V21*Constants!$D$23</f>
        <v>0</v>
      </c>
      <c r="X21" s="116">
        <f t="shared" si="4"/>
        <v>92.881231344348066</v>
      </c>
      <c r="Y21" s="117">
        <f>X21*(1+Constants!$D$20)^-F21</f>
        <v>87.524058756010206</v>
      </c>
      <c r="AA21" s="118"/>
      <c r="AC21" s="118"/>
      <c r="AD21" s="98"/>
    </row>
    <row r="22" spans="2:30" x14ac:dyDescent="0.3">
      <c r="F22" s="99">
        <v>4</v>
      </c>
      <c r="G22" s="106">
        <f>G21*(1-Constants!$D$11)</f>
        <v>0.98014950062500006</v>
      </c>
      <c r="H22" s="101">
        <f>$C$17*(G22-Constants!$N$16)</f>
        <v>724.0018005552605</v>
      </c>
      <c r="I22" s="115">
        <f>Consumption!$C$2-'Analysis (A)'!H22</f>
        <v>7575.9981994447398</v>
      </c>
      <c r="J22" s="116">
        <f>I22*'Grid Power'!K21</f>
        <v>1054.5651440859244</v>
      </c>
      <c r="K22" s="116">
        <v>0</v>
      </c>
      <c r="L22" s="103">
        <f>Configurations!$C$24*Constants!$D$63</f>
        <v>4</v>
      </c>
      <c r="M22" s="102">
        <v>0</v>
      </c>
      <c r="N22" s="116">
        <v>0</v>
      </c>
      <c r="O22" s="116">
        <f>IF(H22&lt;I22,0,H22-I22)</f>
        <v>0</v>
      </c>
      <c r="P22" s="116">
        <v>0</v>
      </c>
      <c r="Q22" s="116">
        <f t="shared" si="5"/>
        <v>-1058.5651440859244</v>
      </c>
      <c r="R22" s="116">
        <f>'Analysis (A)'!Q22+'Analysis (Nothing)'!D9</f>
        <v>96.785299260334114</v>
      </c>
      <c r="S22" s="116">
        <f t="shared" si="8"/>
        <v>0</v>
      </c>
      <c r="T22" s="116">
        <f>U21*Configurations!$G$6</f>
        <v>254.64497624999998</v>
      </c>
      <c r="U22" s="116">
        <f t="shared" si="6"/>
        <v>594.17161124999996</v>
      </c>
      <c r="V22" s="116">
        <f t="shared" si="7"/>
        <v>0</v>
      </c>
      <c r="W22" s="116">
        <f>V22*Constants!$D$23</f>
        <v>0</v>
      </c>
      <c r="X22" s="116">
        <f t="shared" si="4"/>
        <v>96.785299260334114</v>
      </c>
      <c r="Y22" s="117">
        <f>X22*(1+Constants!$D$20)^-F22</f>
        <v>89.414656028267046</v>
      </c>
      <c r="AA22" s="118"/>
      <c r="AC22" s="118"/>
      <c r="AD22" s="98"/>
    </row>
    <row r="23" spans="2:30" x14ac:dyDescent="0.3">
      <c r="F23" s="99">
        <v>5</v>
      </c>
      <c r="G23" s="106">
        <f>G22*(1-Constants!$D$11)</f>
        <v>0.97524875312187509</v>
      </c>
      <c r="H23" s="101">
        <f>$C$17*(G23-Constants!$N$16)</f>
        <v>720.30638644108387</v>
      </c>
      <c r="I23" s="115">
        <f>Consumption!$C$2-'Analysis (A)'!H23</f>
        <v>7579.6936135589158</v>
      </c>
      <c r="J23" s="116">
        <f>I23*'Grid Power'!K22</f>
        <v>1103.3546792378245</v>
      </c>
      <c r="K23" s="116">
        <v>0</v>
      </c>
      <c r="L23" s="103">
        <f>Configurations!$C$24*Constants!$D$63</f>
        <v>4</v>
      </c>
      <c r="M23" s="102">
        <v>0</v>
      </c>
      <c r="N23" s="116">
        <v>0</v>
      </c>
      <c r="O23" s="116">
        <v>0</v>
      </c>
      <c r="P23" s="116">
        <v>0</v>
      </c>
      <c r="Q23" s="116">
        <f t="shared" si="5"/>
        <v>-1107.3546792378245</v>
      </c>
      <c r="R23" s="116">
        <f>'Analysis (A)'!Q23+'Analysis (Nothing)'!D10</f>
        <v>100.85879729096951</v>
      </c>
      <c r="S23" s="116">
        <v>0</v>
      </c>
      <c r="T23" s="116">
        <f>U22*Configurations!$G$6</f>
        <v>178.25148337499999</v>
      </c>
      <c r="U23" s="116">
        <f t="shared" si="6"/>
        <v>415.92012787499993</v>
      </c>
      <c r="V23" s="116">
        <f t="shared" si="7"/>
        <v>0</v>
      </c>
      <c r="W23" s="116">
        <f>V23*Constants!$D$23</f>
        <v>0</v>
      </c>
      <c r="X23" s="116">
        <f t="shared" si="4"/>
        <v>100.85879729096951</v>
      </c>
      <c r="Y23" s="117">
        <f>X23*(1+Constants!$D$20)^-F23</f>
        <v>91.350920148821146</v>
      </c>
      <c r="AA23" s="118"/>
      <c r="AC23" s="118"/>
      <c r="AD23" s="98"/>
    </row>
    <row r="24" spans="2:30" x14ac:dyDescent="0.3">
      <c r="F24" s="99">
        <v>6</v>
      </c>
      <c r="G24" s="106">
        <f>G23*(1-Constants!$D$11)</f>
        <v>0.97037250935626573</v>
      </c>
      <c r="H24" s="101">
        <f>$C$17*(G24-Constants!$N$16)</f>
        <v>716.62944939747831</v>
      </c>
      <c r="I24" s="115">
        <f>Consumption!$C$2-'Analysis (A)'!H24</f>
        <v>7583.3705506025217</v>
      </c>
      <c r="J24" s="116">
        <f>I24*'Grid Power'!K23</f>
        <v>1154.5299005848435</v>
      </c>
      <c r="K24" s="116">
        <v>0</v>
      </c>
      <c r="L24" s="103">
        <f>Configurations!$C$24*Constants!$D$63</f>
        <v>4</v>
      </c>
      <c r="M24" s="102">
        <v>0</v>
      </c>
      <c r="N24" s="116">
        <v>0</v>
      </c>
      <c r="O24" s="116">
        <f t="shared" ref="O24:O37" si="9">IF(H24&lt;I24,0,H24-I24)</f>
        <v>0</v>
      </c>
      <c r="P24" s="116">
        <v>0</v>
      </c>
      <c r="Q24" s="116">
        <f t="shared" si="5"/>
        <v>-1158.5299005848435</v>
      </c>
      <c r="R24" s="116">
        <f>'Analysis (A)'!Q24+'Analysis (Nothing)'!D11</f>
        <v>105.1093073513764</v>
      </c>
      <c r="S24" s="116">
        <v>0</v>
      </c>
      <c r="T24" s="116">
        <f>U23*Configurations!$G$6</f>
        <v>124.77603836249997</v>
      </c>
      <c r="U24" s="116">
        <f t="shared" si="6"/>
        <v>291.14408951249993</v>
      </c>
      <c r="V24" s="116">
        <f t="shared" si="7"/>
        <v>0</v>
      </c>
      <c r="W24" s="116">
        <f>V24*Constants!$D$23</f>
        <v>0</v>
      </c>
      <c r="X24" s="116">
        <f t="shared" si="4"/>
        <v>105.1093073513764</v>
      </c>
      <c r="Y24" s="117">
        <f>X24*(1+Constants!$D$20)^-F24</f>
        <v>93.334056929434979</v>
      </c>
    </row>
    <row r="25" spans="2:30" x14ac:dyDescent="0.3">
      <c r="F25" s="99">
        <v>7</v>
      </c>
      <c r="G25" s="106">
        <f>G24*(1-Constants!$D$11)</f>
        <v>0.96552064680948435</v>
      </c>
      <c r="H25" s="101">
        <f>$C$17*(G25-Constants!$N$16)</f>
        <v>712.97089703909057</v>
      </c>
      <c r="I25" s="115">
        <f>Consumption!$C$2-'Analysis (A)'!H25</f>
        <v>7587.0291029609098</v>
      </c>
      <c r="J25" s="116">
        <f>I25*'Grid Power'!K24</f>
        <v>1208.2106476121189</v>
      </c>
      <c r="K25" s="116">
        <v>0</v>
      </c>
      <c r="L25" s="103">
        <f>Configurations!$C$24*Constants!$D$63</f>
        <v>4</v>
      </c>
      <c r="M25" s="102">
        <v>0</v>
      </c>
      <c r="N25" s="116">
        <v>0</v>
      </c>
      <c r="O25" s="116">
        <f t="shared" si="9"/>
        <v>0</v>
      </c>
      <c r="P25" s="116">
        <v>0</v>
      </c>
      <c r="Q25" s="116">
        <f t="shared" si="5"/>
        <v>-1212.2106476121189</v>
      </c>
      <c r="R25" s="116">
        <f>'Analysis (A)'!Q25+'Analysis (Nothing)'!D12</f>
        <v>109.54475460360391</v>
      </c>
      <c r="S25" s="116">
        <v>0</v>
      </c>
      <c r="T25" s="116">
        <f>U24*Configurations!$G$6</f>
        <v>87.343226853749982</v>
      </c>
      <c r="U25" s="116">
        <f t="shared" si="6"/>
        <v>203.80086265874996</v>
      </c>
      <c r="V25" s="116">
        <f t="shared" si="7"/>
        <v>22.201527749853923</v>
      </c>
      <c r="W25" s="116">
        <f>V25*Constants!$D$23</f>
        <v>2.2201527749853924</v>
      </c>
      <c r="X25" s="116">
        <f t="shared" si="4"/>
        <v>107.32460182861851</v>
      </c>
      <c r="Y25" s="117">
        <f>X25*(1+Constants!$D$20)^-F25</f>
        <v>93.432524537589316</v>
      </c>
    </row>
    <row r="26" spans="2:30" x14ac:dyDescent="0.3">
      <c r="F26" s="99">
        <v>8</v>
      </c>
      <c r="G26" s="106">
        <f>G25*(1-Constants!$D$11)</f>
        <v>0.96069304357543694</v>
      </c>
      <c r="H26" s="101">
        <f>$C$17*(G26-Constants!$N$16)</f>
        <v>709.33063744249489</v>
      </c>
      <c r="I26" s="115">
        <f>Consumption!$C$2-'Analysis (A)'!H26</f>
        <v>7590.6693625575053</v>
      </c>
      <c r="J26" s="116">
        <f>I26*'Grid Power'!K25</f>
        <v>1264.5228524267854</v>
      </c>
      <c r="K26" s="116">
        <v>0</v>
      </c>
      <c r="L26" s="103">
        <f>Configurations!$C$24*Constants!$D$63</f>
        <v>4</v>
      </c>
      <c r="M26" s="102">
        <v>0</v>
      </c>
      <c r="N26" s="116">
        <v>0</v>
      </c>
      <c r="O26" s="116">
        <f t="shared" si="9"/>
        <v>0</v>
      </c>
      <c r="P26" s="116">
        <v>0</v>
      </c>
      <c r="Q26" s="116">
        <f t="shared" si="5"/>
        <v>-1268.5228524267854</v>
      </c>
      <c r="R26" s="116">
        <f>'Analysis (A)'!Q26+'Analysis (Nothing)'!D13</f>
        <v>114.17342305953935</v>
      </c>
      <c r="S26" s="116">
        <v>0</v>
      </c>
      <c r="T26" s="116">
        <f>U25*Configurations!$G$6</f>
        <v>61.140258797624988</v>
      </c>
      <c r="U26" s="116">
        <f t="shared" si="6"/>
        <v>142.66060386112497</v>
      </c>
      <c r="V26" s="116">
        <f t="shared" si="7"/>
        <v>53.033164261914358</v>
      </c>
      <c r="W26" s="116">
        <f>V26*Constants!$D$23</f>
        <v>5.3033164261914365</v>
      </c>
      <c r="X26" s="116">
        <f t="shared" si="4"/>
        <v>108.87010663334792</v>
      </c>
      <c r="Y26" s="117">
        <f>X26*(1+Constants!$D$20)^-F26</f>
        <v>92.919587722003143</v>
      </c>
      <c r="Z26" s="86"/>
    </row>
    <row r="27" spans="2:30" x14ac:dyDescent="0.3">
      <c r="F27" s="99">
        <v>9</v>
      </c>
      <c r="G27" s="106">
        <f>G26*(1-Constants!$D$11)</f>
        <v>0.95588957835755972</v>
      </c>
      <c r="H27" s="101">
        <f>$C$17*(G27-Constants!$N$16)</f>
        <v>705.70857914388216</v>
      </c>
      <c r="I27" s="101">
        <f>Consumption!$C$2-'Analysis (A)'!H27</f>
        <v>7594.2914208561178</v>
      </c>
      <c r="J27" s="116">
        <f>I27*'Grid Power'!K26</f>
        <v>1323.5988510504599</v>
      </c>
      <c r="K27" s="116">
        <v>0</v>
      </c>
      <c r="L27" s="103">
        <f>Configurations!$C$24*Constants!$D$63</f>
        <v>4</v>
      </c>
      <c r="M27" s="102">
        <v>0</v>
      </c>
      <c r="N27" s="116">
        <v>0</v>
      </c>
      <c r="O27" s="116">
        <f t="shared" si="9"/>
        <v>0</v>
      </c>
      <c r="P27" s="116">
        <v>0</v>
      </c>
      <c r="Q27" s="116">
        <f t="shared" si="5"/>
        <v>-1327.5988510504599</v>
      </c>
      <c r="R27" s="116">
        <f>'Analysis (A)'!Q27+'Analysis (Nothing)'!D14</f>
        <v>119.00397189393516</v>
      </c>
      <c r="S27" s="116">
        <v>0</v>
      </c>
      <c r="T27" s="116">
        <f>U26*Configurations!$G$6</f>
        <v>42.798181158337492</v>
      </c>
      <c r="U27" s="116">
        <f t="shared" si="6"/>
        <v>99.862422702787484</v>
      </c>
      <c r="V27" s="116">
        <f t="shared" si="7"/>
        <v>76.205790735597674</v>
      </c>
      <c r="W27" s="116">
        <f>V27*Constants!$D$23</f>
        <v>7.6205790735597674</v>
      </c>
      <c r="X27" s="116">
        <f t="shared" si="4"/>
        <v>111.38339282037539</v>
      </c>
      <c r="Y27" s="117">
        <f>X27*(1+Constants!$D$20)^-F27</f>
        <v>93.200640473211976</v>
      </c>
    </row>
    <row r="28" spans="2:30" x14ac:dyDescent="0.3">
      <c r="F28" s="99">
        <v>10</v>
      </c>
      <c r="G28" s="106">
        <f>G27*(1-Constants!$D$11)</f>
        <v>0.95111013046577186</v>
      </c>
      <c r="H28" s="101">
        <f>$C$17*(G28-Constants!$N$16)</f>
        <v>702.10463113676246</v>
      </c>
      <c r="I28" s="101">
        <f>Consumption!$C$2-'Analysis (A)'!H28</f>
        <v>7597.8953688632373</v>
      </c>
      <c r="J28" s="116">
        <f>I28*'Grid Power'!K27</f>
        <v>1385.5777106459318</v>
      </c>
      <c r="K28" s="116">
        <v>0</v>
      </c>
      <c r="L28" s="103">
        <f>Configurations!$C$24*Constants!$D$63</f>
        <v>4</v>
      </c>
      <c r="M28" s="116">
        <f>IF(MOD(F28,Configurations!$I$7)=0,Configurations!$C$16,0)</f>
        <v>942.375</v>
      </c>
      <c r="N28" s="116">
        <v>0</v>
      </c>
      <c r="O28" s="116">
        <f t="shared" si="9"/>
        <v>0</v>
      </c>
      <c r="P28" s="116">
        <v>0</v>
      </c>
      <c r="Q28" s="116">
        <f t="shared" si="5"/>
        <v>-2331.9527106459318</v>
      </c>
      <c r="R28" s="116">
        <f>'Analysis (A)'!Q28+'Analysis (Nothing)'!D15</f>
        <v>-818.32954750012345</v>
      </c>
      <c r="S28" s="116">
        <f>IF(M28&lt;&gt;0,M28/2,IF(L27&lt;&gt;0,L27/2,0))</f>
        <v>471.1875</v>
      </c>
      <c r="T28" s="116">
        <f>U27*Configurations!$G$6</f>
        <v>29.958726810836243</v>
      </c>
      <c r="U28" s="116">
        <f t="shared" si="6"/>
        <v>541.09119589195132</v>
      </c>
      <c r="V28" s="116">
        <f t="shared" si="7"/>
        <v>0</v>
      </c>
      <c r="W28" s="116">
        <f>V28*Constants!$D$23</f>
        <v>0</v>
      </c>
      <c r="X28" s="116">
        <f t="shared" si="4"/>
        <v>-818.32954750012345</v>
      </c>
      <c r="Y28" s="117">
        <f>X28*(1+Constants!$D$20)^-F28</f>
        <v>-671.31525302933142</v>
      </c>
    </row>
    <row r="29" spans="2:30" x14ac:dyDescent="0.3">
      <c r="F29" s="99">
        <v>11</v>
      </c>
      <c r="G29" s="106">
        <f>G28*(1-Constants!$D$11)</f>
        <v>0.94635457981344295</v>
      </c>
      <c r="H29" s="101">
        <f>$C$17*(G29-Constants!$N$16)</f>
        <v>698.51870286967835</v>
      </c>
      <c r="I29" s="101">
        <f>Consumption!$C$2-'Analysis (A)'!H29</f>
        <v>7601.4812971303218</v>
      </c>
      <c r="J29" s="116">
        <f>I29*'Grid Power'!K28</f>
        <v>1450.6055734941024</v>
      </c>
      <c r="K29" s="116">
        <v>0</v>
      </c>
      <c r="L29" s="103">
        <f>Configurations!$C$24*Constants!$D$63</f>
        <v>4</v>
      </c>
      <c r="M29" s="116">
        <v>0</v>
      </c>
      <c r="N29" s="116">
        <v>0</v>
      </c>
      <c r="O29" s="116">
        <f t="shared" si="9"/>
        <v>0</v>
      </c>
      <c r="P29" s="116">
        <v>0</v>
      </c>
      <c r="Q29" s="116">
        <f t="shared" si="5"/>
        <v>-1454.6055734941024</v>
      </c>
      <c r="R29" s="116">
        <f>'Analysis (A)'!Q29+'Analysis (Nothing)'!D16</f>
        <v>129.30732632047875</v>
      </c>
      <c r="S29" s="116">
        <f>S28</f>
        <v>471.1875</v>
      </c>
      <c r="T29" s="116">
        <f>U28*Configurations!$G$6</f>
        <v>162.32735876758539</v>
      </c>
      <c r="U29" s="116">
        <f t="shared" si="6"/>
        <v>849.95133712436586</v>
      </c>
      <c r="V29" s="116">
        <f>IF(R29&lt;0, 0,IF(R29-T29&lt;0,0,R29-T29))</f>
        <v>0</v>
      </c>
      <c r="W29" s="116">
        <f>V29*Constants!$D$23</f>
        <v>0</v>
      </c>
      <c r="X29" s="116">
        <f t="shared" si="4"/>
        <v>129.30732632047875</v>
      </c>
      <c r="Y29" s="117">
        <f>X29*(1+Constants!$D$20)^-F29</f>
        <v>103.99710324353596</v>
      </c>
    </row>
    <row r="30" spans="2:30" x14ac:dyDescent="0.3">
      <c r="F30" s="99">
        <v>12</v>
      </c>
      <c r="G30" s="106">
        <f>G29*(1-Constants!$D$11)</f>
        <v>0.94162280691437572</v>
      </c>
      <c r="H30" s="101">
        <f>$C$17*(G30-Constants!$N$16)</f>
        <v>694.95070424392964</v>
      </c>
      <c r="I30" s="101">
        <f>Consumption!$C$2-'Analysis (A)'!H30</f>
        <v>7605.04929575607</v>
      </c>
      <c r="J30" s="116">
        <f>I30*'Grid Power'!K29</f>
        <v>1518.8360185789791</v>
      </c>
      <c r="K30" s="116">
        <v>0</v>
      </c>
      <c r="L30" s="103">
        <f>Configurations!$C$24*Constants!$D$63</f>
        <v>4</v>
      </c>
      <c r="M30" s="116">
        <v>0</v>
      </c>
      <c r="N30" s="116">
        <v>0</v>
      </c>
      <c r="O30" s="116">
        <f t="shared" si="9"/>
        <v>0</v>
      </c>
      <c r="P30" s="116">
        <v>0</v>
      </c>
      <c r="Q30" s="116">
        <f t="shared" si="5"/>
        <v>-1522.8360185789791</v>
      </c>
      <c r="R30" s="116">
        <f>'Analysis (A)'!Q30+'Analysis (Nothing)'!D17</f>
        <v>134.79948349214624</v>
      </c>
      <c r="S30" s="116">
        <v>0</v>
      </c>
      <c r="T30" s="116">
        <f>U29*Configurations!$G$6</f>
        <v>254.98540113730974</v>
      </c>
      <c r="U30" s="116">
        <f t="shared" si="6"/>
        <v>594.96593598705613</v>
      </c>
      <c r="V30" s="116">
        <f t="shared" ref="V30:V38" si="10">IF(R30&lt;0, 0,IF(R30-T30&lt;0,0,R30-T30))</f>
        <v>0</v>
      </c>
      <c r="W30" s="116">
        <f>V30*Constants!$D$23</f>
        <v>0</v>
      </c>
      <c r="X30" s="116">
        <f t="shared" si="4"/>
        <v>134.79948349214624</v>
      </c>
      <c r="Y30" s="117">
        <f>X30*(1+Constants!$D$20)^-F30</f>
        <v>106.28847280548946</v>
      </c>
    </row>
    <row r="31" spans="2:30" x14ac:dyDescent="0.3">
      <c r="F31" s="99">
        <v>13</v>
      </c>
      <c r="G31" s="106">
        <f>G30*(1-Constants!$D$11)</f>
        <v>0.93691469287980389</v>
      </c>
      <c r="H31" s="101">
        <f>$C$17*(G31-Constants!$N$16)</f>
        <v>691.40054561130978</v>
      </c>
      <c r="I31" s="101">
        <f>Consumption!$C$2-'Analysis (A)'!H31</f>
        <v>7608.59945438869</v>
      </c>
      <c r="J31" s="116">
        <f>I31*'Grid Power'!K30</f>
        <v>1590.4304416824743</v>
      </c>
      <c r="K31" s="116">
        <v>0</v>
      </c>
      <c r="L31" s="103">
        <f>Configurations!$C$24*Constants!$D$63</f>
        <v>4</v>
      </c>
      <c r="M31" s="116">
        <v>0</v>
      </c>
      <c r="N31" s="116">
        <v>0</v>
      </c>
      <c r="O31" s="116">
        <f t="shared" si="9"/>
        <v>0</v>
      </c>
      <c r="P31" s="116">
        <v>0</v>
      </c>
      <c r="Q31" s="116">
        <f t="shared" si="5"/>
        <v>-1594.4304416824743</v>
      </c>
      <c r="R31" s="116">
        <f>'Analysis (A)'!Q31+'Analysis (Nothing)'!D18</f>
        <v>140.53226233633063</v>
      </c>
      <c r="S31" s="116">
        <v>0</v>
      </c>
      <c r="T31" s="116">
        <f>U30*Configurations!$G$6</f>
        <v>178.48978079611683</v>
      </c>
      <c r="U31" s="116">
        <f t="shared" si="6"/>
        <v>416.47615519093927</v>
      </c>
      <c r="V31" s="116">
        <f t="shared" si="10"/>
        <v>0</v>
      </c>
      <c r="W31" s="116">
        <f>V31*Constants!$D$23</f>
        <v>0</v>
      </c>
      <c r="X31" s="116">
        <f t="shared" si="4"/>
        <v>140.53226233633063</v>
      </c>
      <c r="Y31" s="117">
        <f>X31*(1+Constants!$D$20)^-F31</f>
        <v>108.63600960906643</v>
      </c>
    </row>
    <row r="32" spans="2:30" x14ac:dyDescent="0.3">
      <c r="F32" s="99">
        <v>14</v>
      </c>
      <c r="G32" s="106">
        <f>G31*(1-Constants!$D$11)</f>
        <v>0.9322301194154049</v>
      </c>
      <c r="H32" s="101">
        <f>$C$17*(G32-Constants!$N$16)</f>
        <v>687.86813777185296</v>
      </c>
      <c r="I32" s="101">
        <f>Consumption!$C$2-'Analysis (A)'!H32</f>
        <v>7612.1318622281469</v>
      </c>
      <c r="J32" s="116">
        <f>I32*'Grid Power'!K31</f>
        <v>1665.5584549369335</v>
      </c>
      <c r="K32" s="116">
        <v>0</v>
      </c>
      <c r="L32" s="103">
        <f>Configurations!$C$24*Constants!$D$63</f>
        <v>4</v>
      </c>
      <c r="M32" s="116">
        <v>0</v>
      </c>
      <c r="N32" s="116">
        <v>0</v>
      </c>
      <c r="O32" s="116">
        <f t="shared" si="9"/>
        <v>0</v>
      </c>
      <c r="P32" s="116">
        <v>0</v>
      </c>
      <c r="Q32" s="116">
        <f t="shared" si="5"/>
        <v>-1669.5584549369335</v>
      </c>
      <c r="R32" s="116">
        <f>'Analysis (A)'!Q32+'Analysis (Nothing)'!D19</f>
        <v>146.51646973840775</v>
      </c>
      <c r="S32" s="116">
        <v>0</v>
      </c>
      <c r="T32" s="116">
        <f>U31*Configurations!$G$6</f>
        <v>124.94284655728177</v>
      </c>
      <c r="U32" s="116">
        <f t="shared" si="6"/>
        <v>291.5333086336575</v>
      </c>
      <c r="V32" s="116">
        <f t="shared" si="10"/>
        <v>21.573623181125981</v>
      </c>
      <c r="W32" s="116">
        <f>V32*Constants!$D$23</f>
        <v>2.157362318112598</v>
      </c>
      <c r="X32" s="116">
        <f t="shared" si="4"/>
        <v>144.35910742029515</v>
      </c>
      <c r="Y32" s="117">
        <f>X32*(1+Constants!$D$20)^-F32</f>
        <v>109.40616208569971</v>
      </c>
    </row>
    <row r="33" spans="6:29" x14ac:dyDescent="0.3">
      <c r="F33" s="99">
        <v>15</v>
      </c>
      <c r="G33" s="106">
        <f>G32*(1-Constants!$D$11)</f>
        <v>0.92756896881832784</v>
      </c>
      <c r="H33" s="101">
        <f>$C$17*(G33-Constants!$N$16)</f>
        <v>684.35339197159351</v>
      </c>
      <c r="I33" s="101">
        <f>Consumption!$C$2-'Analysis (A)'!H33</f>
        <v>7615.6466080284063</v>
      </c>
      <c r="J33" s="116">
        <f>I33*'Grid Power'!K32</f>
        <v>1744.3983068318489</v>
      </c>
      <c r="K33" s="116">
        <v>0</v>
      </c>
      <c r="L33" s="103">
        <f>Configurations!$C$24*Constants!$D$63</f>
        <v>4</v>
      </c>
      <c r="M33" s="116">
        <v>0</v>
      </c>
      <c r="N33" s="116">
        <v>0</v>
      </c>
      <c r="O33" s="116">
        <f t="shared" si="9"/>
        <v>0</v>
      </c>
      <c r="P33" s="116">
        <v>0</v>
      </c>
      <c r="Q33" s="116">
        <f t="shared" si="5"/>
        <v>-1748.3983068318489</v>
      </c>
      <c r="R33" s="116">
        <f>'Analysis (A)'!Q33+'Analysis (Nothing)'!D20</f>
        <v>152.76340245404708</v>
      </c>
      <c r="S33" s="116">
        <v>0</v>
      </c>
      <c r="T33" s="116">
        <f>U32*Configurations!$G$6</f>
        <v>87.459992590097244</v>
      </c>
      <c r="U33" s="116">
        <f t="shared" si="6"/>
        <v>204.07331604356025</v>
      </c>
      <c r="V33" s="116">
        <f t="shared" si="10"/>
        <v>65.303409863949838</v>
      </c>
      <c r="W33" s="116">
        <f>V33*Constants!$D$23</f>
        <v>6.5303409863949842</v>
      </c>
      <c r="X33" s="116">
        <f t="shared" si="4"/>
        <v>146.23306146765211</v>
      </c>
      <c r="Y33" s="117">
        <f>X33*(1+Constants!$D$20)^-F33</f>
        <v>108.65331868178207</v>
      </c>
    </row>
    <row r="34" spans="6:29" x14ac:dyDescent="0.3">
      <c r="F34" s="99">
        <v>16</v>
      </c>
      <c r="G34" s="106">
        <f>G33*(1-Constants!$D$11)</f>
        <v>0.92293112397423616</v>
      </c>
      <c r="H34" s="101">
        <f>$C$17*(G34-Constants!$N$16)</f>
        <v>680.85621990033519</v>
      </c>
      <c r="I34" s="101">
        <f>Consumption!$C$2-'Analysis (A)'!H34</f>
        <v>7619.1437800996646</v>
      </c>
      <c r="J34" s="116">
        <f>I34*'Grid Power'!K33</f>
        <v>1827.1373237222481</v>
      </c>
      <c r="K34" s="116">
        <v>0</v>
      </c>
      <c r="L34" s="103">
        <f>Configurations!$C$24*Constants!$D$63</f>
        <v>4</v>
      </c>
      <c r="M34" s="116">
        <v>0</v>
      </c>
      <c r="N34" s="116">
        <v>0</v>
      </c>
      <c r="O34" s="116">
        <f t="shared" si="9"/>
        <v>0</v>
      </c>
      <c r="P34" s="116">
        <v>0</v>
      </c>
      <c r="Q34" s="116">
        <f t="shared" si="5"/>
        <v>-1831.1373237222481</v>
      </c>
      <c r="R34" s="116">
        <f>'Analysis (A)'!Q34+'Analysis (Nothing)'!D21</f>
        <v>159.28486938528681</v>
      </c>
      <c r="S34" s="116">
        <v>0</v>
      </c>
      <c r="T34" s="116">
        <f>U33*Configurations!$G$6</f>
        <v>61.221994813068072</v>
      </c>
      <c r="U34" s="116">
        <f t="shared" si="6"/>
        <v>142.85132123049218</v>
      </c>
      <c r="V34" s="116">
        <f t="shared" si="10"/>
        <v>98.062874572218732</v>
      </c>
      <c r="W34" s="116">
        <f>V34*Constants!$D$23</f>
        <v>9.8062874572218739</v>
      </c>
      <c r="X34" s="116">
        <f t="shared" si="4"/>
        <v>149.47858192806493</v>
      </c>
      <c r="Y34" s="117">
        <f>X34*(1+Constants!$D$20)^-F34</f>
        <v>108.88704724543912</v>
      </c>
    </row>
    <row r="35" spans="6:29" x14ac:dyDescent="0.3">
      <c r="F35" s="99">
        <v>17</v>
      </c>
      <c r="G35" s="106">
        <f>G34*(1-Constants!$D$11)</f>
        <v>0.91831646835436498</v>
      </c>
      <c r="H35" s="101">
        <f>$C$17*(G35-Constants!$N$16)</f>
        <v>677.37653368943324</v>
      </c>
      <c r="I35" s="101">
        <f>Consumption!$C$2-'Analysis (A)'!H35</f>
        <v>7622.623466310567</v>
      </c>
      <c r="J35" s="116">
        <f>I35*'Grid Power'!K34</f>
        <v>1913.9723739398855</v>
      </c>
      <c r="K35" s="116">
        <v>0</v>
      </c>
      <c r="L35" s="103">
        <f>Configurations!$C$24*Constants!$D$63</f>
        <v>4</v>
      </c>
      <c r="M35" s="116">
        <v>0</v>
      </c>
      <c r="N35" s="116">
        <v>0</v>
      </c>
      <c r="O35" s="116">
        <f t="shared" si="9"/>
        <v>0</v>
      </c>
      <c r="P35" s="116">
        <v>0</v>
      </c>
      <c r="Q35" s="116">
        <f t="shared" si="5"/>
        <v>-1917.9723739398855</v>
      </c>
      <c r="R35" s="116">
        <f>'Analysis (A)'!Q35+'Analysis (Nothing)'!D22</f>
        <v>166.09321487044963</v>
      </c>
      <c r="S35" s="116">
        <v>0</v>
      </c>
      <c r="T35" s="116">
        <f>U34*Configurations!$G$6</f>
        <v>42.855396369147648</v>
      </c>
      <c r="U35" s="116">
        <f t="shared" si="6"/>
        <v>99.99592486134452</v>
      </c>
      <c r="V35" s="116">
        <f t="shared" si="10"/>
        <v>123.23781850130197</v>
      </c>
      <c r="W35" s="116">
        <f>V35*Constants!$D$23</f>
        <v>12.323781850130198</v>
      </c>
      <c r="X35" s="116">
        <f t="shared" si="4"/>
        <v>153.76943302031944</v>
      </c>
      <c r="Y35" s="117">
        <f>X35*(1+Constants!$D$20)^-F35</f>
        <v>109.81637231457162</v>
      </c>
    </row>
    <row r="36" spans="6:29" x14ac:dyDescent="0.3">
      <c r="F36" s="99">
        <v>18</v>
      </c>
      <c r="G36" s="106">
        <f>G35*(1-Constants!$D$11)</f>
        <v>0.91372488601259316</v>
      </c>
      <c r="H36" s="101">
        <f>$C$17*(G36-Constants!$N$16)</f>
        <v>673.91424590958582</v>
      </c>
      <c r="I36" s="101">
        <f>Consumption!$C$2-'Analysis (A)'!H36</f>
        <v>7626.0857540904144</v>
      </c>
      <c r="J36" s="116">
        <f>I36*'Grid Power'!K35</f>
        <v>2005.1103556647395</v>
      </c>
      <c r="K36" s="116">
        <v>0</v>
      </c>
      <c r="L36" s="103">
        <f>Configurations!$C$24*Constants!$D$63</f>
        <v>4</v>
      </c>
      <c r="M36" s="116">
        <v>0</v>
      </c>
      <c r="N36" s="116">
        <v>0</v>
      </c>
      <c r="O36" s="116">
        <f t="shared" si="9"/>
        <v>0</v>
      </c>
      <c r="P36" s="116">
        <v>0</v>
      </c>
      <c r="Q36" s="116">
        <f t="shared" si="5"/>
        <v>-2009.1103556647395</v>
      </c>
      <c r="R36" s="116">
        <f>'Analysis (A)'!Q36+'Analysis (Nothing)'!D23</f>
        <v>173.20134303403347</v>
      </c>
      <c r="S36" s="116">
        <v>0</v>
      </c>
      <c r="T36" s="116">
        <f>U35*Configurations!$G$6</f>
        <v>29.998777458403353</v>
      </c>
      <c r="U36" s="116">
        <f t="shared" si="6"/>
        <v>69.997147402941167</v>
      </c>
      <c r="V36" s="116">
        <f t="shared" si="10"/>
        <v>143.2025655756301</v>
      </c>
      <c r="W36" s="116">
        <f>V36*Constants!$D$23</f>
        <v>14.320256557563011</v>
      </c>
      <c r="X36" s="116">
        <f t="shared" si="4"/>
        <v>158.88108647647047</v>
      </c>
      <c r="Y36" s="117">
        <f>X36*(1+Constants!$D$20)^-F36</f>
        <v>111.2420822012247</v>
      </c>
    </row>
    <row r="37" spans="6:29" x14ac:dyDescent="0.3">
      <c r="F37" s="99">
        <v>19</v>
      </c>
      <c r="G37" s="106">
        <f>G36*(1-Constants!$D$11)</f>
        <v>0.90915626158253016</v>
      </c>
      <c r="H37" s="101">
        <f>$C$17*(G37-Constants!$N$16)</f>
        <v>670.46926956863763</v>
      </c>
      <c r="I37" s="101">
        <f>Consumption!$C$2-'Analysis (A)'!H37</f>
        <v>7629.5307304313628</v>
      </c>
      <c r="J37" s="116">
        <f>I37*'Grid Power'!K36</f>
        <v>2100.7687097735948</v>
      </c>
      <c r="K37" s="116">
        <v>0</v>
      </c>
      <c r="L37" s="103">
        <f>Configurations!$C$24*Constants!$D$63</f>
        <v>4</v>
      </c>
      <c r="M37" s="116">
        <v>0</v>
      </c>
      <c r="N37" s="116">
        <v>0</v>
      </c>
      <c r="O37" s="116">
        <f t="shared" si="9"/>
        <v>0</v>
      </c>
      <c r="P37" s="116">
        <v>0</v>
      </c>
      <c r="Q37" s="116">
        <f t="shared" si="5"/>
        <v>-2104.7687097735948</v>
      </c>
      <c r="R37" s="116">
        <f>'Analysis (A)'!Q37+'Analysis (Nothing)'!D24</f>
        <v>180.62274324482678</v>
      </c>
      <c r="S37" s="116">
        <v>0</v>
      </c>
      <c r="T37" s="116">
        <f>U36*Configurations!$G$6</f>
        <v>20.99914422088235</v>
      </c>
      <c r="U37" s="116">
        <f t="shared" si="6"/>
        <v>48.998003182058817</v>
      </c>
      <c r="V37" s="116">
        <f t="shared" si="10"/>
        <v>159.62359902394442</v>
      </c>
      <c r="W37" s="116">
        <f>V37*Constants!$D$23</f>
        <v>15.962359902394443</v>
      </c>
      <c r="X37" s="116">
        <f t="shared" si="4"/>
        <v>164.66038334243234</v>
      </c>
      <c r="Y37" s="117">
        <f>X37*(1+Constants!$D$20)^-F37</f>
        <v>113.02795204180133</v>
      </c>
    </row>
    <row r="38" spans="6:29" x14ac:dyDescent="0.3">
      <c r="F38" s="107">
        <v>20</v>
      </c>
      <c r="G38" s="108">
        <f>G37*(1-Constants!$D$11)</f>
        <v>0.90461048027461755</v>
      </c>
      <c r="H38" s="109">
        <f>$C$17*(G38-Constants!$N$16)</f>
        <v>667.04151810939425</v>
      </c>
      <c r="I38" s="109">
        <f>Consumption!$C$2-'Analysis (A)'!H38</f>
        <v>7632.958481890606</v>
      </c>
      <c r="J38" s="119">
        <f>I38*'Grid Power'!K37</f>
        <v>2201.1759589447938</v>
      </c>
      <c r="K38" s="119">
        <v>0</v>
      </c>
      <c r="L38" s="111">
        <f>Configurations!$C$24*Constants!$D$63</f>
        <v>4</v>
      </c>
      <c r="M38" s="119">
        <v>0</v>
      </c>
      <c r="N38" s="119">
        <v>0</v>
      </c>
      <c r="O38" s="111">
        <v>0</v>
      </c>
      <c r="P38" s="119">
        <f>U38</f>
        <v>34.298602227441172</v>
      </c>
      <c r="Q38" s="119">
        <f t="shared" si="5"/>
        <v>-2170.8773567173525</v>
      </c>
      <c r="R38" s="119">
        <f>'Analysis (A)'!Q38+'Analysis (Nothing)'!D25</f>
        <v>222.67011896011172</v>
      </c>
      <c r="S38" s="119">
        <v>0</v>
      </c>
      <c r="T38" s="119">
        <f>U37*Configurations!$G$6</f>
        <v>14.699400954617644</v>
      </c>
      <c r="U38" s="119">
        <f t="shared" si="6"/>
        <v>34.298602227441172</v>
      </c>
      <c r="V38" s="119">
        <f t="shared" si="10"/>
        <v>207.97071800549406</v>
      </c>
      <c r="W38" s="119">
        <f>V38*Constants!$D$23</f>
        <v>20.797071800549407</v>
      </c>
      <c r="X38" s="119">
        <f t="shared" si="4"/>
        <v>201.8730471595623</v>
      </c>
      <c r="Y38" s="120">
        <f>X38*(1+Constants!$D$20)^-F38</f>
        <v>135.85477366555645</v>
      </c>
    </row>
    <row r="40" spans="6:29" x14ac:dyDescent="0.3">
      <c r="F40" s="275" t="s">
        <v>201</v>
      </c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AC40" s="114"/>
    </row>
    <row r="41" spans="6:29" x14ac:dyDescent="0.3">
      <c r="F41" s="275" t="s">
        <v>56</v>
      </c>
      <c r="G41" s="275" t="s">
        <v>116</v>
      </c>
      <c r="H41" s="275"/>
      <c r="I41" s="275"/>
      <c r="J41" s="277" t="s">
        <v>6</v>
      </c>
      <c r="K41" s="278"/>
      <c r="L41" s="278"/>
      <c r="M41" s="279"/>
      <c r="N41" s="277" t="s">
        <v>164</v>
      </c>
      <c r="O41" s="278"/>
      <c r="P41" s="279"/>
      <c r="Q41" s="275" t="s">
        <v>174</v>
      </c>
      <c r="R41" s="275"/>
      <c r="S41" s="275"/>
      <c r="T41" s="275"/>
      <c r="U41" s="275"/>
      <c r="V41" s="275"/>
      <c r="W41" s="275"/>
      <c r="X41" s="275" t="s">
        <v>195</v>
      </c>
      <c r="Y41" s="275"/>
      <c r="AA41" s="90" t="s">
        <v>192</v>
      </c>
      <c r="AB41" s="91">
        <f>IRR(X44:X84)</f>
        <v>5.7425583359659527E-2</v>
      </c>
      <c r="AC41" s="114"/>
    </row>
    <row r="42" spans="6:29" x14ac:dyDescent="0.3">
      <c r="F42" s="275"/>
      <c r="G42" s="280" t="s">
        <v>152</v>
      </c>
      <c r="H42" s="92" t="s">
        <v>167</v>
      </c>
      <c r="I42" s="92" t="s">
        <v>168</v>
      </c>
      <c r="J42" s="92" t="s">
        <v>160</v>
      </c>
      <c r="K42" s="92" t="s">
        <v>139</v>
      </c>
      <c r="L42" s="92" t="s">
        <v>162</v>
      </c>
      <c r="M42" s="92" t="s">
        <v>224</v>
      </c>
      <c r="N42" s="92" t="s">
        <v>161</v>
      </c>
      <c r="O42" s="92" t="s">
        <v>163</v>
      </c>
      <c r="P42" s="92" t="s">
        <v>146</v>
      </c>
      <c r="Q42" s="92" t="s">
        <v>172</v>
      </c>
      <c r="R42" s="92" t="s">
        <v>175</v>
      </c>
      <c r="S42" s="92" t="s">
        <v>169</v>
      </c>
      <c r="T42" s="92" t="s">
        <v>8</v>
      </c>
      <c r="U42" s="92" t="s">
        <v>171</v>
      </c>
      <c r="V42" s="92" t="s">
        <v>170</v>
      </c>
      <c r="W42" s="92" t="s">
        <v>173</v>
      </c>
      <c r="X42" s="92" t="s">
        <v>194</v>
      </c>
      <c r="Y42" s="92" t="s">
        <v>194</v>
      </c>
      <c r="AA42" s="90" t="s">
        <v>193</v>
      </c>
      <c r="AB42" s="94">
        <f>IRR(Y44:Y84)</f>
        <v>3.6691748391084467E-2</v>
      </c>
      <c r="AC42" s="114"/>
    </row>
    <row r="43" spans="6:29" x14ac:dyDescent="0.3">
      <c r="F43" s="276"/>
      <c r="G43" s="281"/>
      <c r="H43" s="135" t="s">
        <v>62</v>
      </c>
      <c r="I43" s="135" t="s">
        <v>62</v>
      </c>
      <c r="J43" s="135" t="s">
        <v>59</v>
      </c>
      <c r="K43" s="135" t="s">
        <v>59</v>
      </c>
      <c r="L43" s="218" t="s">
        <v>59</v>
      </c>
      <c r="M43" s="135" t="s">
        <v>59</v>
      </c>
      <c r="N43" s="135" t="s">
        <v>59</v>
      </c>
      <c r="O43" s="135" t="s">
        <v>59</v>
      </c>
      <c r="P43" s="135" t="s">
        <v>59</v>
      </c>
      <c r="Q43" s="135" t="s">
        <v>59</v>
      </c>
      <c r="R43" s="135" t="s">
        <v>59</v>
      </c>
      <c r="S43" s="135" t="s">
        <v>59</v>
      </c>
      <c r="T43" s="135" t="s">
        <v>59</v>
      </c>
      <c r="U43" s="135" t="s">
        <v>59</v>
      </c>
      <c r="V43" s="135" t="s">
        <v>59</v>
      </c>
      <c r="W43" s="135" t="s">
        <v>59</v>
      </c>
      <c r="X43" s="135" t="s">
        <v>59</v>
      </c>
      <c r="Y43" s="219" t="s">
        <v>176</v>
      </c>
      <c r="AA43" s="96" t="s">
        <v>196</v>
      </c>
      <c r="AB43" s="97">
        <f>NPV(Constants!$D$21,'Analysis (A)'!Y45:Y84)+'Analysis (A)'!Y44</f>
        <v>235.3988339519251</v>
      </c>
      <c r="AC43" s="114"/>
    </row>
    <row r="44" spans="6:29" x14ac:dyDescent="0.3">
      <c r="F44" s="154">
        <v>0</v>
      </c>
      <c r="G44" s="155">
        <v>1</v>
      </c>
      <c r="H44" s="156">
        <v>0</v>
      </c>
      <c r="I44" s="156">
        <v>0</v>
      </c>
      <c r="J44" s="157">
        <v>0</v>
      </c>
      <c r="K44" s="157">
        <f>Configurations!$C$18</f>
        <v>2037.9749999999999</v>
      </c>
      <c r="L44" s="103">
        <v>0</v>
      </c>
      <c r="M44" s="157">
        <v>0</v>
      </c>
      <c r="N44" s="157">
        <f>Configurations!$C$24*(Incentives!$C$5+Incentives!$C$6)</f>
        <v>360</v>
      </c>
      <c r="O44" s="158">
        <v>0</v>
      </c>
      <c r="P44" s="157">
        <f>IF(H44&lt;I44,0,H44-I44)</f>
        <v>0</v>
      </c>
      <c r="Q44" s="157">
        <f t="shared" ref="Q44:Q53" si="11">N44+P44-L44-K44-J44</f>
        <v>-1677.9749999999999</v>
      </c>
      <c r="R44" s="157">
        <f>'Analysis (A)'!Q44+'Analysis (Nothing)'!D5</f>
        <v>-1677.9749999999999</v>
      </c>
      <c r="S44" s="157">
        <f>$K$7/2</f>
        <v>1018.9875</v>
      </c>
      <c r="T44" s="157">
        <v>0</v>
      </c>
      <c r="U44" s="157">
        <f>S44-T44</f>
        <v>1018.9875</v>
      </c>
      <c r="V44" s="157">
        <f>IF(R44&lt;0, 0,R44-T44)</f>
        <v>0</v>
      </c>
      <c r="W44" s="157">
        <f>V44*Constants!$D$23</f>
        <v>0</v>
      </c>
      <c r="X44" s="157">
        <f t="shared" ref="X44:X84" si="12">R44-W44</f>
        <v>-1677.9749999999999</v>
      </c>
      <c r="Y44" s="224">
        <f>X44*(1+Constants!$D$20)^-F44</f>
        <v>-1677.9749999999999</v>
      </c>
      <c r="AA44" s="90" t="s">
        <v>197</v>
      </c>
      <c r="AB44" s="105">
        <f>PMT(Constants!$D$21,5,-'Analysis (A)'!AB43)</f>
        <v>51.400411495767969</v>
      </c>
      <c r="AC44" s="114"/>
    </row>
    <row r="45" spans="6:29" x14ac:dyDescent="0.3">
      <c r="F45" s="99">
        <v>1</v>
      </c>
      <c r="G45" s="106">
        <f>G44*(1-Constants!$D$11)</f>
        <v>0.995</v>
      </c>
      <c r="H45" s="101">
        <f>$C$17*(G45-Constants!$N$16)</f>
        <v>735.19983615247315</v>
      </c>
      <c r="I45" s="101">
        <f>Consumption!$C$2-'Analysis (A)'!H45</f>
        <v>7564.8001638475271</v>
      </c>
      <c r="J45" s="102">
        <f>I45*'Grid Power'!K18</f>
        <v>921.39753168793436</v>
      </c>
      <c r="K45" s="102">
        <v>0</v>
      </c>
      <c r="L45" s="103">
        <f>Configurations!$C$24*Constants!$D$63</f>
        <v>4</v>
      </c>
      <c r="M45" s="102">
        <v>0</v>
      </c>
      <c r="N45" s="102">
        <v>0</v>
      </c>
      <c r="O45" s="103">
        <v>0</v>
      </c>
      <c r="P45" s="102">
        <f>IF(H45&lt;I45,0,H45-I45)</f>
        <v>0</v>
      </c>
      <c r="Q45" s="102">
        <f t="shared" si="11"/>
        <v>-925.39753168793436</v>
      </c>
      <c r="R45" s="102">
        <f>'Analysis (A)'!Q45+'Analysis (Nothing)'!D6</f>
        <v>85.55268553782571</v>
      </c>
      <c r="S45" s="102">
        <f>$K$7/2</f>
        <v>1018.9875</v>
      </c>
      <c r="T45" s="102">
        <f>U44*Configurations!$G$6</f>
        <v>305.69624999999996</v>
      </c>
      <c r="U45" s="102">
        <f t="shared" ref="U45:U84" si="13">U44+S45-T45</f>
        <v>1732.2787499999999</v>
      </c>
      <c r="V45" s="102">
        <f t="shared" ref="V45:V84" si="14">IF(R45&lt;0, 0,IF(R45-T45&lt;0,0,R45-T45))</f>
        <v>0</v>
      </c>
      <c r="W45" s="102">
        <f>V45*Constants!$D$23</f>
        <v>0</v>
      </c>
      <c r="X45" s="102">
        <f t="shared" si="12"/>
        <v>85.55268553782571</v>
      </c>
      <c r="Y45" s="97">
        <f>X45*(1+Constants!$D$20)^-F45</f>
        <v>83.87518189982913</v>
      </c>
      <c r="AC45" s="114"/>
    </row>
    <row r="46" spans="6:29" x14ac:dyDescent="0.3">
      <c r="F46" s="99">
        <v>2</v>
      </c>
      <c r="G46" s="106">
        <f>G45*(1-Constants!$D$11)</f>
        <v>0.99002500000000004</v>
      </c>
      <c r="H46" s="101">
        <f>$C$17*(G46-Constants!$N$16)</f>
        <v>731.44843186031051</v>
      </c>
      <c r="I46" s="101">
        <f>Consumption!$C$2-'Analysis (A)'!H46</f>
        <v>7568.5515681396892</v>
      </c>
      <c r="J46" s="102">
        <f>I46*'Grid Power'!K19</f>
        <v>963.6924751491257</v>
      </c>
      <c r="K46" s="102">
        <v>0</v>
      </c>
      <c r="L46" s="103">
        <f>Configurations!$C$24*Constants!$D$63</f>
        <v>4</v>
      </c>
      <c r="M46" s="102">
        <v>0</v>
      </c>
      <c r="N46" s="102">
        <v>0</v>
      </c>
      <c r="O46" s="103">
        <v>0</v>
      </c>
      <c r="P46" s="102">
        <f>IF(H46&lt;I46,0,H46-I46)</f>
        <v>0</v>
      </c>
      <c r="Q46" s="102">
        <f t="shared" si="11"/>
        <v>-967.6924751491257</v>
      </c>
      <c r="R46" s="102">
        <f>'Analysis (A)'!Q46+'Analysis (Nothing)'!D7</f>
        <v>89.139339951103125</v>
      </c>
      <c r="S46" s="102">
        <v>0</v>
      </c>
      <c r="T46" s="102">
        <f>U45*Configurations!$G$6</f>
        <v>519.68362500000001</v>
      </c>
      <c r="U46" s="102">
        <f t="shared" si="13"/>
        <v>1212.5951249999998</v>
      </c>
      <c r="V46" s="102">
        <f t="shared" si="14"/>
        <v>0</v>
      </c>
      <c r="W46" s="102">
        <f>V46*Constants!$D$23</f>
        <v>0</v>
      </c>
      <c r="X46" s="102">
        <f t="shared" si="12"/>
        <v>89.139339951103125</v>
      </c>
      <c r="Y46" s="97">
        <f>X46*(1+Constants!$D$20)^-F46</f>
        <v>85.677950741160259</v>
      </c>
    </row>
    <row r="47" spans="6:29" x14ac:dyDescent="0.3">
      <c r="F47" s="99">
        <v>3</v>
      </c>
      <c r="G47" s="106">
        <f>G46*(1-Constants!$D$11)</f>
        <v>0.98507487500000002</v>
      </c>
      <c r="H47" s="101">
        <f>$C$17*(G47-Constants!$N$16)</f>
        <v>727.71578458960869</v>
      </c>
      <c r="I47" s="101">
        <f>Consumption!$C$2-'Analysis (A)'!H47</f>
        <v>7572.284215410391</v>
      </c>
      <c r="J47" s="102">
        <f>I47*'Grid Power'!K20</f>
        <v>1008.0472521314581</v>
      </c>
      <c r="K47" s="102">
        <v>0</v>
      </c>
      <c r="L47" s="103">
        <f>Configurations!$C$24*Constants!$D$63</f>
        <v>4</v>
      </c>
      <c r="M47" s="102">
        <v>0</v>
      </c>
      <c r="N47" s="102">
        <v>0</v>
      </c>
      <c r="O47" s="103">
        <v>0</v>
      </c>
      <c r="P47" s="102">
        <f>IF(H47&lt;I47,0,H47-I47)</f>
        <v>0</v>
      </c>
      <c r="Q47" s="102">
        <f t="shared" si="11"/>
        <v>-1012.0472521314581</v>
      </c>
      <c r="R47" s="102">
        <f>'Analysis (A)'!Q47+'Analysis (Nothing)'!D8</f>
        <v>92.881231344348066</v>
      </c>
      <c r="S47" s="102">
        <v>0</v>
      </c>
      <c r="T47" s="102">
        <f>U46*Configurations!$G$6</f>
        <v>363.77853749999991</v>
      </c>
      <c r="U47" s="102">
        <f t="shared" si="13"/>
        <v>848.81658749999997</v>
      </c>
      <c r="V47" s="102">
        <f t="shared" si="14"/>
        <v>0</v>
      </c>
      <c r="W47" s="102">
        <f>V47*Constants!$D$23</f>
        <v>0</v>
      </c>
      <c r="X47" s="102">
        <f t="shared" si="12"/>
        <v>92.881231344348066</v>
      </c>
      <c r="Y47" s="97">
        <f>X47*(1+Constants!$D$20)^-F47</f>
        <v>87.524058756010206</v>
      </c>
    </row>
    <row r="48" spans="6:29" x14ac:dyDescent="0.3">
      <c r="F48" s="99">
        <v>4</v>
      </c>
      <c r="G48" s="106">
        <f>G47*(1-Constants!$D$11)</f>
        <v>0.98014950062500006</v>
      </c>
      <c r="H48" s="101">
        <f>$C$17*(G48-Constants!$N$16)</f>
        <v>724.0018005552605</v>
      </c>
      <c r="I48" s="101">
        <f>Consumption!$C$2-'Analysis (A)'!H48</f>
        <v>7575.9981994447398</v>
      </c>
      <c r="J48" s="102">
        <f>I48*'Grid Power'!K21</f>
        <v>1054.5651440859244</v>
      </c>
      <c r="K48" s="102">
        <v>0</v>
      </c>
      <c r="L48" s="103">
        <f>Configurations!$C$24*Constants!$D$63</f>
        <v>4</v>
      </c>
      <c r="M48" s="102">
        <v>0</v>
      </c>
      <c r="N48" s="102">
        <v>0</v>
      </c>
      <c r="O48" s="103">
        <v>0</v>
      </c>
      <c r="P48" s="102">
        <f>IF(H48&lt;I48,0,H48-I48)</f>
        <v>0</v>
      </c>
      <c r="Q48" s="102">
        <f t="shared" si="11"/>
        <v>-1058.5651440859244</v>
      </c>
      <c r="R48" s="102">
        <f>'Analysis (A)'!Q48+'Analysis (Nothing)'!D9</f>
        <v>96.785299260334114</v>
      </c>
      <c r="S48" s="102">
        <v>0</v>
      </c>
      <c r="T48" s="102">
        <f>U47*Configurations!$G$6</f>
        <v>254.64497624999998</v>
      </c>
      <c r="U48" s="102">
        <f t="shared" si="13"/>
        <v>594.17161124999996</v>
      </c>
      <c r="V48" s="102">
        <f t="shared" si="14"/>
        <v>0</v>
      </c>
      <c r="W48" s="102">
        <f>V48*Constants!$D$23</f>
        <v>0</v>
      </c>
      <c r="X48" s="102">
        <f t="shared" si="12"/>
        <v>96.785299260334114</v>
      </c>
      <c r="Y48" s="97">
        <f>X48*(1+Constants!$D$20)^-F48</f>
        <v>89.414656028267046</v>
      </c>
      <c r="AB48" s="86"/>
    </row>
    <row r="49" spans="6:25" x14ac:dyDescent="0.3">
      <c r="F49" s="99">
        <v>5</v>
      </c>
      <c r="G49" s="106">
        <f>G48*(1-Constants!$D$11)</f>
        <v>0.97524875312187509</v>
      </c>
      <c r="H49" s="101">
        <f>$C$17*(G49-Constants!$N$16)</f>
        <v>720.30638644108387</v>
      </c>
      <c r="I49" s="101">
        <f>Consumption!$C$2-'Analysis (A)'!H49</f>
        <v>7579.6936135589158</v>
      </c>
      <c r="J49" s="102">
        <f>I49*'Grid Power'!K22</f>
        <v>1103.3546792378245</v>
      </c>
      <c r="K49" s="102">
        <v>0</v>
      </c>
      <c r="L49" s="103">
        <f>Configurations!$C$24*Constants!$D$63</f>
        <v>4</v>
      </c>
      <c r="M49" s="102">
        <v>0</v>
      </c>
      <c r="N49" s="102">
        <v>0</v>
      </c>
      <c r="O49" s="103">
        <v>0</v>
      </c>
      <c r="P49" s="102">
        <v>0</v>
      </c>
      <c r="Q49" s="102">
        <f t="shared" si="11"/>
        <v>-1107.3546792378245</v>
      </c>
      <c r="R49" s="102">
        <f>'Analysis (A)'!Q49+'Analysis (Nothing)'!D10</f>
        <v>100.85879729096951</v>
      </c>
      <c r="S49" s="102">
        <v>0</v>
      </c>
      <c r="T49" s="102">
        <f>U48*Configurations!$G$6</f>
        <v>178.25148337499999</v>
      </c>
      <c r="U49" s="102">
        <f t="shared" si="13"/>
        <v>415.92012787499993</v>
      </c>
      <c r="V49" s="102">
        <f t="shared" si="14"/>
        <v>0</v>
      </c>
      <c r="W49" s="102">
        <f>V49*Constants!$D$23</f>
        <v>0</v>
      </c>
      <c r="X49" s="102">
        <f t="shared" si="12"/>
        <v>100.85879729096951</v>
      </c>
      <c r="Y49" s="97">
        <f>X49*(1+Constants!$D$20)^-F49</f>
        <v>91.350920148821146</v>
      </c>
    </row>
    <row r="50" spans="6:25" x14ac:dyDescent="0.3">
      <c r="F50" s="99">
        <v>6</v>
      </c>
      <c r="G50" s="106">
        <f>G49*(1-Constants!$D$11)</f>
        <v>0.97037250935626573</v>
      </c>
      <c r="H50" s="101">
        <f>$C$17*(G50-Constants!$N$16)</f>
        <v>716.62944939747831</v>
      </c>
      <c r="I50" s="101">
        <f>Consumption!$C$2-'Analysis (A)'!H50</f>
        <v>7583.3705506025217</v>
      </c>
      <c r="J50" s="102">
        <f>I50*'Grid Power'!K23</f>
        <v>1154.5299005848435</v>
      </c>
      <c r="K50" s="102">
        <v>0</v>
      </c>
      <c r="L50" s="103">
        <f>Configurations!$C$24*Constants!$D$63</f>
        <v>4</v>
      </c>
      <c r="M50" s="102">
        <v>0</v>
      </c>
      <c r="N50" s="102">
        <v>0</v>
      </c>
      <c r="O50" s="103">
        <v>0</v>
      </c>
      <c r="P50" s="102">
        <f t="shared" ref="P50:P63" si="15">IF(H50&lt;I50,0,H50-I50)</f>
        <v>0</v>
      </c>
      <c r="Q50" s="102">
        <f t="shared" si="11"/>
        <v>-1158.5299005848435</v>
      </c>
      <c r="R50" s="102">
        <f>'Analysis (A)'!Q50+'Analysis (Nothing)'!D11</f>
        <v>105.1093073513764</v>
      </c>
      <c r="S50" s="102">
        <v>0</v>
      </c>
      <c r="T50" s="102">
        <f>U49*Configurations!$G$6</f>
        <v>124.77603836249997</v>
      </c>
      <c r="U50" s="102">
        <f t="shared" si="13"/>
        <v>291.14408951249993</v>
      </c>
      <c r="V50" s="102">
        <f t="shared" si="14"/>
        <v>0</v>
      </c>
      <c r="W50" s="102">
        <f>V50*Constants!$D$23</f>
        <v>0</v>
      </c>
      <c r="X50" s="102">
        <f t="shared" si="12"/>
        <v>105.1093073513764</v>
      </c>
      <c r="Y50" s="97">
        <f>X50*(1+Constants!$D$20)^-F50</f>
        <v>93.334056929434979</v>
      </c>
    </row>
    <row r="51" spans="6:25" x14ac:dyDescent="0.3">
      <c r="F51" s="99">
        <v>7</v>
      </c>
      <c r="G51" s="106">
        <f>G50*(1-Constants!$D$11)</f>
        <v>0.96552064680948435</v>
      </c>
      <c r="H51" s="101">
        <f>$C$17*(G51-Constants!$N$16)</f>
        <v>712.97089703909057</v>
      </c>
      <c r="I51" s="101">
        <f>Consumption!$C$2-'Analysis (A)'!H51</f>
        <v>7587.0291029609098</v>
      </c>
      <c r="J51" s="102">
        <f>I51*'Grid Power'!K24</f>
        <v>1208.2106476121189</v>
      </c>
      <c r="K51" s="102">
        <v>0</v>
      </c>
      <c r="L51" s="103">
        <f>Configurations!$C$24*Constants!$D$63</f>
        <v>4</v>
      </c>
      <c r="M51" s="102">
        <v>0</v>
      </c>
      <c r="N51" s="102">
        <v>0</v>
      </c>
      <c r="O51" s="103">
        <v>0</v>
      </c>
      <c r="P51" s="102">
        <f t="shared" si="15"/>
        <v>0</v>
      </c>
      <c r="Q51" s="102">
        <f t="shared" si="11"/>
        <v>-1212.2106476121189</v>
      </c>
      <c r="R51" s="102">
        <f>'Analysis (A)'!Q51+'Analysis (Nothing)'!D12</f>
        <v>109.54475460360391</v>
      </c>
      <c r="S51" s="102">
        <v>0</v>
      </c>
      <c r="T51" s="102">
        <f>U50*Configurations!$G$6</f>
        <v>87.343226853749982</v>
      </c>
      <c r="U51" s="102">
        <f t="shared" si="13"/>
        <v>203.80086265874996</v>
      </c>
      <c r="V51" s="102">
        <f t="shared" si="14"/>
        <v>22.201527749853923</v>
      </c>
      <c r="W51" s="102">
        <f>V51*Constants!$D$23</f>
        <v>2.2201527749853924</v>
      </c>
      <c r="X51" s="102">
        <f t="shared" si="12"/>
        <v>107.32460182861851</v>
      </c>
      <c r="Y51" s="97">
        <f>X51*(1+Constants!$D$20)^-F51</f>
        <v>93.432524537589316</v>
      </c>
    </row>
    <row r="52" spans="6:25" x14ac:dyDescent="0.3">
      <c r="F52" s="99">
        <v>8</v>
      </c>
      <c r="G52" s="106">
        <f>G51*(1-Constants!$D$11)</f>
        <v>0.96069304357543694</v>
      </c>
      <c r="H52" s="101">
        <f>$C$17*(G52-Constants!$N$16)</f>
        <v>709.33063744249489</v>
      </c>
      <c r="I52" s="101">
        <f>Consumption!$C$2-'Analysis (A)'!H52</f>
        <v>7590.6693625575053</v>
      </c>
      <c r="J52" s="102">
        <f>I52*'Grid Power'!K25</f>
        <v>1264.5228524267854</v>
      </c>
      <c r="K52" s="102">
        <v>0</v>
      </c>
      <c r="L52" s="103">
        <f>Configurations!$C$24*Constants!$D$63</f>
        <v>4</v>
      </c>
      <c r="M52" s="102">
        <v>0</v>
      </c>
      <c r="N52" s="102">
        <v>0</v>
      </c>
      <c r="O52" s="103">
        <v>0</v>
      </c>
      <c r="P52" s="102">
        <f t="shared" si="15"/>
        <v>0</v>
      </c>
      <c r="Q52" s="102">
        <f t="shared" si="11"/>
        <v>-1268.5228524267854</v>
      </c>
      <c r="R52" s="102">
        <f>'Analysis (A)'!Q52+'Analysis (Nothing)'!D13</f>
        <v>114.17342305953935</v>
      </c>
      <c r="S52" s="102">
        <v>0</v>
      </c>
      <c r="T52" s="102">
        <f>U51*Configurations!$G$6</f>
        <v>61.140258797624988</v>
      </c>
      <c r="U52" s="102">
        <f t="shared" si="13"/>
        <v>142.66060386112497</v>
      </c>
      <c r="V52" s="102">
        <f t="shared" si="14"/>
        <v>53.033164261914358</v>
      </c>
      <c r="W52" s="102">
        <f>V52*Constants!$D$23</f>
        <v>5.3033164261914365</v>
      </c>
      <c r="X52" s="102">
        <f t="shared" si="12"/>
        <v>108.87010663334792</v>
      </c>
      <c r="Y52" s="97">
        <f>X52*(1+Constants!$D$20)^-F52</f>
        <v>92.919587722003143</v>
      </c>
    </row>
    <row r="53" spans="6:25" x14ac:dyDescent="0.3">
      <c r="F53" s="99">
        <v>9</v>
      </c>
      <c r="G53" s="106">
        <f>G52*(1-Constants!$D$11)</f>
        <v>0.95588957835755972</v>
      </c>
      <c r="H53" s="101">
        <f>$C$17*(G53-Constants!$N$16)</f>
        <v>705.70857914388216</v>
      </c>
      <c r="I53" s="101">
        <f>Consumption!$C$2-'Analysis (A)'!H53</f>
        <v>7594.2914208561178</v>
      </c>
      <c r="J53" s="102">
        <f>I53*'Grid Power'!K26</f>
        <v>1323.5988510504599</v>
      </c>
      <c r="K53" s="102">
        <v>0</v>
      </c>
      <c r="L53" s="103">
        <f>Configurations!$C$24*Constants!$D$63</f>
        <v>4</v>
      </c>
      <c r="M53" s="102">
        <v>0</v>
      </c>
      <c r="N53" s="102">
        <v>0</v>
      </c>
      <c r="O53" s="103">
        <v>0</v>
      </c>
      <c r="P53" s="102">
        <f t="shared" si="15"/>
        <v>0</v>
      </c>
      <c r="Q53" s="102">
        <f t="shared" si="11"/>
        <v>-1327.5988510504599</v>
      </c>
      <c r="R53" s="102">
        <f>'Analysis (A)'!Q53+'Analysis (Nothing)'!D14</f>
        <v>119.00397189393516</v>
      </c>
      <c r="S53" s="102">
        <v>0</v>
      </c>
      <c r="T53" s="102">
        <f>U52*Configurations!$G$6</f>
        <v>42.798181158337492</v>
      </c>
      <c r="U53" s="102">
        <f t="shared" si="13"/>
        <v>99.862422702787484</v>
      </c>
      <c r="V53" s="102">
        <f t="shared" si="14"/>
        <v>76.205790735597674</v>
      </c>
      <c r="W53" s="102">
        <f>V53*Constants!$D$23</f>
        <v>7.6205790735597674</v>
      </c>
      <c r="X53" s="102">
        <f t="shared" si="12"/>
        <v>111.38339282037539</v>
      </c>
      <c r="Y53" s="97">
        <f>X53*(1+Constants!$D$20)^-F53</f>
        <v>93.200640473211976</v>
      </c>
    </row>
    <row r="54" spans="6:25" x14ac:dyDescent="0.3">
      <c r="F54" s="99">
        <v>10</v>
      </c>
      <c r="G54" s="106">
        <f>G53*(1-Constants!$D$11)</f>
        <v>0.95111013046577186</v>
      </c>
      <c r="H54" s="101">
        <f>$C$17*(G54-Constants!$N$16)</f>
        <v>702.10463113676246</v>
      </c>
      <c r="I54" s="101">
        <f>Consumption!$C$2-'Analysis (A)'!H54</f>
        <v>7597.8953688632373</v>
      </c>
      <c r="J54" s="102">
        <f>I54*'Grid Power'!K27</f>
        <v>1385.5777106459318</v>
      </c>
      <c r="K54" s="102">
        <v>0</v>
      </c>
      <c r="L54" s="103">
        <f>Configurations!$C$24*Constants!$D$63</f>
        <v>4</v>
      </c>
      <c r="M54" s="102">
        <f>IF(MOD(F54,Configurations!$I$7)=0,Configurations!$C$16,0)</f>
        <v>942.375</v>
      </c>
      <c r="N54" s="102">
        <v>0</v>
      </c>
      <c r="O54" s="103">
        <v>0</v>
      </c>
      <c r="P54" s="102">
        <f t="shared" si="15"/>
        <v>0</v>
      </c>
      <c r="Q54" s="102">
        <f t="shared" ref="Q54:Q74" si="16">N54+P54-M54-K54-J54</f>
        <v>-2327.9527106459318</v>
      </c>
      <c r="R54" s="102">
        <f>'Analysis (A)'!Q54+'Analysis (Nothing)'!D15</f>
        <v>-814.32954750012345</v>
      </c>
      <c r="S54" s="102">
        <f>IF(M54&lt;&gt;0,M54/2,IF(L53&lt;&gt;0,L53/2,0))</f>
        <v>471.1875</v>
      </c>
      <c r="T54" s="102">
        <f>U53*Configurations!$G$6</f>
        <v>29.958726810836243</v>
      </c>
      <c r="U54" s="102">
        <f t="shared" si="13"/>
        <v>541.09119589195132</v>
      </c>
      <c r="V54" s="102">
        <f t="shared" si="14"/>
        <v>0</v>
      </c>
      <c r="W54" s="102">
        <f>V54*Constants!$D$23</f>
        <v>0</v>
      </c>
      <c r="X54" s="102">
        <f t="shared" si="12"/>
        <v>-814.32954750012345</v>
      </c>
      <c r="Y54" s="97">
        <f>X54*(1+Constants!$D$20)^-F54</f>
        <v>-668.03385982983082</v>
      </c>
    </row>
    <row r="55" spans="6:25" x14ac:dyDescent="0.3">
      <c r="F55" s="99">
        <v>11</v>
      </c>
      <c r="G55" s="106">
        <f>G54*(1-Constants!$D$11)</f>
        <v>0.94635457981344295</v>
      </c>
      <c r="H55" s="101">
        <f>$C$17*(G55-Constants!$N$16)</f>
        <v>698.51870286967835</v>
      </c>
      <c r="I55" s="101">
        <f>Consumption!$C$2-'Analysis (A)'!H55</f>
        <v>7601.4812971303218</v>
      </c>
      <c r="J55" s="102">
        <f>I55*'Grid Power'!K28</f>
        <v>1450.6055734941024</v>
      </c>
      <c r="K55" s="102">
        <v>0</v>
      </c>
      <c r="L55" s="103">
        <f>Configurations!$C$24*Constants!$D$63</f>
        <v>4</v>
      </c>
      <c r="M55" s="102">
        <v>0</v>
      </c>
      <c r="N55" s="102">
        <v>0</v>
      </c>
      <c r="O55" s="103">
        <v>0</v>
      </c>
      <c r="P55" s="102">
        <f t="shared" si="15"/>
        <v>0</v>
      </c>
      <c r="Q55" s="102">
        <f t="shared" si="16"/>
        <v>-1450.6055734941024</v>
      </c>
      <c r="R55" s="102">
        <f>'Analysis (A)'!Q55+'Analysis (Nothing)'!D16</f>
        <v>133.30732632047875</v>
      </c>
      <c r="S55" s="102">
        <f t="shared" ref="S55:S75" si="17">IF(M55&lt;&gt;0,M55/2,IF(M54&lt;&gt;0,M54/2,0))</f>
        <v>471.1875</v>
      </c>
      <c r="T55" s="102">
        <f>U54*Configurations!$G$6</f>
        <v>162.32735876758539</v>
      </c>
      <c r="U55" s="102">
        <f t="shared" si="13"/>
        <v>849.95133712436586</v>
      </c>
      <c r="V55" s="102">
        <f t="shared" si="14"/>
        <v>0</v>
      </c>
      <c r="W55" s="102">
        <f>V55*Constants!$D$23</f>
        <v>0</v>
      </c>
      <c r="X55" s="102">
        <f t="shared" si="12"/>
        <v>133.30732632047875</v>
      </c>
      <c r="Y55" s="97">
        <f>X55*(1+Constants!$D$20)^-F55</f>
        <v>107.21415539990912</v>
      </c>
    </row>
    <row r="56" spans="6:25" x14ac:dyDescent="0.3">
      <c r="F56" s="99">
        <v>12</v>
      </c>
      <c r="G56" s="106">
        <f>G55*(1-Constants!$D$11)</f>
        <v>0.94162280691437572</v>
      </c>
      <c r="H56" s="101">
        <f>$C$17*(G56-Constants!$N$16)</f>
        <v>694.95070424392964</v>
      </c>
      <c r="I56" s="101">
        <f>Consumption!$C$2-'Analysis (A)'!H56</f>
        <v>7605.04929575607</v>
      </c>
      <c r="J56" s="102">
        <f>I56*'Grid Power'!K29</f>
        <v>1518.8360185789791</v>
      </c>
      <c r="K56" s="102">
        <v>0</v>
      </c>
      <c r="L56" s="103">
        <f>Configurations!$C$24*Constants!$D$63</f>
        <v>4</v>
      </c>
      <c r="M56" s="102">
        <v>0</v>
      </c>
      <c r="N56" s="102">
        <v>0</v>
      </c>
      <c r="O56" s="103">
        <v>0</v>
      </c>
      <c r="P56" s="102">
        <f t="shared" si="15"/>
        <v>0</v>
      </c>
      <c r="Q56" s="102">
        <f t="shared" si="16"/>
        <v>-1518.8360185789791</v>
      </c>
      <c r="R56" s="102">
        <f>'Analysis (A)'!Q56+'Analysis (Nothing)'!D17</f>
        <v>138.79948349214624</v>
      </c>
      <c r="S56" s="102">
        <f t="shared" si="17"/>
        <v>0</v>
      </c>
      <c r="T56" s="102">
        <f>U55*Configurations!$G$6</f>
        <v>254.98540113730974</v>
      </c>
      <c r="U56" s="102">
        <f t="shared" si="13"/>
        <v>594.96593598705613</v>
      </c>
      <c r="V56" s="102">
        <f t="shared" si="14"/>
        <v>0</v>
      </c>
      <c r="W56" s="102">
        <f>V56*Constants!$D$23</f>
        <v>0</v>
      </c>
      <c r="X56" s="102">
        <f t="shared" si="12"/>
        <v>138.79948349214624</v>
      </c>
      <c r="Y56" s="97">
        <f>X56*(1+Constants!$D$20)^-F56</f>
        <v>109.44244550781609</v>
      </c>
    </row>
    <row r="57" spans="6:25" x14ac:dyDescent="0.3">
      <c r="F57" s="99">
        <v>13</v>
      </c>
      <c r="G57" s="106">
        <f>G56*(1-Constants!$D$11)</f>
        <v>0.93691469287980389</v>
      </c>
      <c r="H57" s="101">
        <f>$C$17*(G57-Constants!$N$16)</f>
        <v>691.40054561130978</v>
      </c>
      <c r="I57" s="101">
        <f>Consumption!$C$2-'Analysis (A)'!H57</f>
        <v>7608.59945438869</v>
      </c>
      <c r="J57" s="102">
        <f>I57*'Grid Power'!K30</f>
        <v>1590.4304416824743</v>
      </c>
      <c r="K57" s="102">
        <v>0</v>
      </c>
      <c r="L57" s="103">
        <f>Configurations!$C$24*Constants!$D$63</f>
        <v>4</v>
      </c>
      <c r="M57" s="102">
        <v>0</v>
      </c>
      <c r="N57" s="102">
        <v>0</v>
      </c>
      <c r="O57" s="103">
        <v>0</v>
      </c>
      <c r="P57" s="102">
        <f t="shared" si="15"/>
        <v>0</v>
      </c>
      <c r="Q57" s="102">
        <f t="shared" si="16"/>
        <v>-1590.4304416824743</v>
      </c>
      <c r="R57" s="102">
        <f>'Analysis (A)'!Q57+'Analysis (Nothing)'!D18</f>
        <v>144.53226233633063</v>
      </c>
      <c r="S57" s="102">
        <f t="shared" si="17"/>
        <v>0</v>
      </c>
      <c r="T57" s="102">
        <f>U56*Configurations!$G$6</f>
        <v>178.48978079611683</v>
      </c>
      <c r="U57" s="102">
        <f t="shared" si="13"/>
        <v>416.47615519093927</v>
      </c>
      <c r="V57" s="102">
        <f t="shared" si="14"/>
        <v>0</v>
      </c>
      <c r="W57" s="102">
        <f>V57*Constants!$D$23</f>
        <v>0</v>
      </c>
      <c r="X57" s="102">
        <f t="shared" si="12"/>
        <v>144.53226233633063</v>
      </c>
      <c r="Y57" s="97">
        <f>X57*(1+Constants!$D$20)^-F57</f>
        <v>111.72813970938665</v>
      </c>
    </row>
    <row r="58" spans="6:25" x14ac:dyDescent="0.3">
      <c r="F58" s="99">
        <v>14</v>
      </c>
      <c r="G58" s="106">
        <f>G57*(1-Constants!$D$11)</f>
        <v>0.9322301194154049</v>
      </c>
      <c r="H58" s="101">
        <f>$C$17*(G58-Constants!$N$16)</f>
        <v>687.86813777185296</v>
      </c>
      <c r="I58" s="101">
        <f>Consumption!$C$2-'Analysis (A)'!H58</f>
        <v>7612.1318622281469</v>
      </c>
      <c r="J58" s="102">
        <f>I58*'Grid Power'!K31</f>
        <v>1665.5584549369335</v>
      </c>
      <c r="K58" s="102">
        <v>0</v>
      </c>
      <c r="L58" s="103">
        <f>Configurations!$C$24*Constants!$D$63</f>
        <v>4</v>
      </c>
      <c r="M58" s="102">
        <v>0</v>
      </c>
      <c r="N58" s="102">
        <v>0</v>
      </c>
      <c r="O58" s="103">
        <v>0</v>
      </c>
      <c r="P58" s="102">
        <f t="shared" si="15"/>
        <v>0</v>
      </c>
      <c r="Q58" s="102">
        <f t="shared" si="16"/>
        <v>-1665.5584549369335</v>
      </c>
      <c r="R58" s="102">
        <f>'Analysis (A)'!Q58+'Analysis (Nothing)'!D19</f>
        <v>150.51646973840775</v>
      </c>
      <c r="S58" s="102">
        <f t="shared" si="17"/>
        <v>0</v>
      </c>
      <c r="T58" s="102">
        <f>U57*Configurations!$G$6</f>
        <v>124.94284655728177</v>
      </c>
      <c r="U58" s="102">
        <f t="shared" si="13"/>
        <v>291.5333086336575</v>
      </c>
      <c r="V58" s="102">
        <f t="shared" si="14"/>
        <v>25.573623181125981</v>
      </c>
      <c r="W58" s="102">
        <f>V58*Constants!$D$23</f>
        <v>2.5573623181125984</v>
      </c>
      <c r="X58" s="102">
        <f t="shared" si="12"/>
        <v>147.95910742029514</v>
      </c>
      <c r="Y58" s="97">
        <f>X58*(1+Constants!$D$20)^-F58</f>
        <v>112.13451217421755</v>
      </c>
    </row>
    <row r="59" spans="6:25" x14ac:dyDescent="0.3">
      <c r="F59" s="99">
        <v>15</v>
      </c>
      <c r="G59" s="106">
        <f>G58*(1-Constants!$D$11)</f>
        <v>0.92756896881832784</v>
      </c>
      <c r="H59" s="101">
        <f>$C$17*(G59-Constants!$N$16)</f>
        <v>684.35339197159351</v>
      </c>
      <c r="I59" s="101">
        <f>Consumption!$C$2-'Analysis (A)'!H59</f>
        <v>7615.6466080284063</v>
      </c>
      <c r="J59" s="102">
        <f>I59*'Grid Power'!K32</f>
        <v>1744.3983068318489</v>
      </c>
      <c r="K59" s="102">
        <v>0</v>
      </c>
      <c r="L59" s="103">
        <f>Configurations!$C$24*Constants!$D$63</f>
        <v>4</v>
      </c>
      <c r="M59" s="102">
        <v>0</v>
      </c>
      <c r="N59" s="102">
        <v>0</v>
      </c>
      <c r="O59" s="103">
        <v>0</v>
      </c>
      <c r="P59" s="102">
        <f t="shared" si="15"/>
        <v>0</v>
      </c>
      <c r="Q59" s="102">
        <f t="shared" si="16"/>
        <v>-1744.3983068318489</v>
      </c>
      <c r="R59" s="102">
        <f>'Analysis (A)'!Q59+'Analysis (Nothing)'!D20</f>
        <v>156.76340245404708</v>
      </c>
      <c r="S59" s="102">
        <f t="shared" si="17"/>
        <v>0</v>
      </c>
      <c r="T59" s="102">
        <f>U58*Configurations!$G$6</f>
        <v>87.459992590097244</v>
      </c>
      <c r="U59" s="102">
        <f t="shared" si="13"/>
        <v>204.07331604356025</v>
      </c>
      <c r="V59" s="102">
        <f t="shared" si="14"/>
        <v>69.303409863949838</v>
      </c>
      <c r="W59" s="102">
        <f>V59*Constants!$D$23</f>
        <v>6.9303409863949845</v>
      </c>
      <c r="X59" s="102">
        <f t="shared" si="12"/>
        <v>149.8330614676521</v>
      </c>
      <c r="Y59" s="97">
        <f>X59*(1+Constants!$D$20)^-F59</f>
        <v>111.32817170974073</v>
      </c>
    </row>
    <row r="60" spans="6:25" x14ac:dyDescent="0.3">
      <c r="F60" s="99">
        <v>16</v>
      </c>
      <c r="G60" s="106">
        <f>G59*(1-Constants!$D$11)</f>
        <v>0.92293112397423616</v>
      </c>
      <c r="H60" s="101">
        <f>$C$17*(G60-Constants!$N$16)</f>
        <v>680.85621990033519</v>
      </c>
      <c r="I60" s="101">
        <f>Consumption!$C$2-'Analysis (A)'!H60</f>
        <v>7619.1437800996646</v>
      </c>
      <c r="J60" s="102">
        <f>I60*'Grid Power'!K33</f>
        <v>1827.1373237222481</v>
      </c>
      <c r="K60" s="102">
        <v>0</v>
      </c>
      <c r="L60" s="103">
        <f>Configurations!$C$24*Constants!$D$63</f>
        <v>4</v>
      </c>
      <c r="M60" s="102">
        <v>0</v>
      </c>
      <c r="N60" s="102">
        <v>0</v>
      </c>
      <c r="O60" s="103">
        <v>0</v>
      </c>
      <c r="P60" s="102">
        <f t="shared" si="15"/>
        <v>0</v>
      </c>
      <c r="Q60" s="102">
        <f t="shared" si="16"/>
        <v>-1827.1373237222481</v>
      </c>
      <c r="R60" s="102">
        <f>'Analysis (A)'!Q60+'Analysis (Nothing)'!D21</f>
        <v>163.28486938528681</v>
      </c>
      <c r="S60" s="102">
        <f t="shared" si="17"/>
        <v>0</v>
      </c>
      <c r="T60" s="102">
        <f>U59*Configurations!$G$6</f>
        <v>61.221994813068072</v>
      </c>
      <c r="U60" s="102">
        <f t="shared" si="13"/>
        <v>142.85132123049218</v>
      </c>
      <c r="V60" s="102">
        <f t="shared" si="14"/>
        <v>102.06287457221873</v>
      </c>
      <c r="W60" s="102">
        <f>V60*Constants!$D$23</f>
        <v>10.206287457221874</v>
      </c>
      <c r="X60" s="102">
        <f t="shared" si="12"/>
        <v>153.07858192806495</v>
      </c>
      <c r="Y60" s="97">
        <f>X60*(1+Constants!$D$20)^-F60</f>
        <v>111.50945217481038</v>
      </c>
    </row>
    <row r="61" spans="6:25" x14ac:dyDescent="0.3">
      <c r="F61" s="99">
        <v>17</v>
      </c>
      <c r="G61" s="106">
        <f>G60*(1-Constants!$D$11)</f>
        <v>0.91831646835436498</v>
      </c>
      <c r="H61" s="101">
        <f>$C$17*(G61-Constants!$N$16)</f>
        <v>677.37653368943324</v>
      </c>
      <c r="I61" s="101">
        <f>Consumption!$C$2-'Analysis (A)'!H61</f>
        <v>7622.623466310567</v>
      </c>
      <c r="J61" s="102">
        <f>I61*'Grid Power'!K34</f>
        <v>1913.9723739398855</v>
      </c>
      <c r="K61" s="102">
        <v>0</v>
      </c>
      <c r="L61" s="103">
        <f>Configurations!$C$24*Constants!$D$63</f>
        <v>4</v>
      </c>
      <c r="M61" s="102">
        <v>0</v>
      </c>
      <c r="N61" s="102">
        <v>0</v>
      </c>
      <c r="O61" s="103">
        <v>0</v>
      </c>
      <c r="P61" s="102">
        <f t="shared" si="15"/>
        <v>0</v>
      </c>
      <c r="Q61" s="102">
        <f t="shared" si="16"/>
        <v>-1913.9723739398855</v>
      </c>
      <c r="R61" s="102">
        <f>'Analysis (A)'!Q61+'Analysis (Nothing)'!D22</f>
        <v>170.09321487044963</v>
      </c>
      <c r="S61" s="102">
        <f t="shared" si="17"/>
        <v>0</v>
      </c>
      <c r="T61" s="102">
        <f>U60*Configurations!$G$6</f>
        <v>42.855396369147648</v>
      </c>
      <c r="U61" s="102">
        <f t="shared" si="13"/>
        <v>99.99592486134452</v>
      </c>
      <c r="V61" s="102">
        <f t="shared" si="14"/>
        <v>127.23781850130197</v>
      </c>
      <c r="W61" s="102">
        <f>V61*Constants!$D$23</f>
        <v>12.723781850130198</v>
      </c>
      <c r="X61" s="102">
        <f t="shared" si="12"/>
        <v>157.36943302031943</v>
      </c>
      <c r="Y61" s="97">
        <f>X61*(1+Constants!$D$20)^-F61</f>
        <v>112.38735753944539</v>
      </c>
    </row>
    <row r="62" spans="6:25" x14ac:dyDescent="0.3">
      <c r="F62" s="99">
        <v>18</v>
      </c>
      <c r="G62" s="106">
        <f>G61*(1-Constants!$D$11)</f>
        <v>0.91372488601259316</v>
      </c>
      <c r="H62" s="101">
        <f>$C$17*(G62-Constants!$N$16)</f>
        <v>673.91424590958582</v>
      </c>
      <c r="I62" s="101">
        <f>Consumption!$C$2-'Analysis (A)'!H62</f>
        <v>7626.0857540904144</v>
      </c>
      <c r="J62" s="102">
        <f>I62*'Grid Power'!K35</f>
        <v>2005.1103556647395</v>
      </c>
      <c r="K62" s="102">
        <v>0</v>
      </c>
      <c r="L62" s="103">
        <f>Configurations!$C$24*Constants!$D$63</f>
        <v>4</v>
      </c>
      <c r="M62" s="102">
        <v>0</v>
      </c>
      <c r="N62" s="102">
        <v>0</v>
      </c>
      <c r="O62" s="103">
        <v>0</v>
      </c>
      <c r="P62" s="102">
        <f t="shared" si="15"/>
        <v>0</v>
      </c>
      <c r="Q62" s="102">
        <f t="shared" si="16"/>
        <v>-2005.1103556647395</v>
      </c>
      <c r="R62" s="102">
        <f>'Analysis (A)'!Q62+'Analysis (Nothing)'!D23</f>
        <v>177.20134303403347</v>
      </c>
      <c r="S62" s="102">
        <f t="shared" si="17"/>
        <v>0</v>
      </c>
      <c r="T62" s="102">
        <f>U61*Configurations!$G$6</f>
        <v>29.998777458403353</v>
      </c>
      <c r="U62" s="102">
        <f t="shared" si="13"/>
        <v>69.997147402941167</v>
      </c>
      <c r="V62" s="102">
        <f t="shared" si="14"/>
        <v>147.2025655756301</v>
      </c>
      <c r="W62" s="102">
        <f>V62*Constants!$D$23</f>
        <v>14.720256557563012</v>
      </c>
      <c r="X62" s="102">
        <f t="shared" si="12"/>
        <v>162.48108647647047</v>
      </c>
      <c r="Y62" s="97">
        <f>X62*(1+Constants!$D$20)^-F62</f>
        <v>113.76265595110095</v>
      </c>
    </row>
    <row r="63" spans="6:25" x14ac:dyDescent="0.3">
      <c r="F63" s="99">
        <v>19</v>
      </c>
      <c r="G63" s="106">
        <f>G62*(1-Constants!$D$11)</f>
        <v>0.90915626158253016</v>
      </c>
      <c r="H63" s="101">
        <f>$C$17*(G63-Constants!$N$16)</f>
        <v>670.46926956863763</v>
      </c>
      <c r="I63" s="101">
        <f>Consumption!$C$2-'Analysis (A)'!H63</f>
        <v>7629.5307304313628</v>
      </c>
      <c r="J63" s="102">
        <f>I63*'Grid Power'!K36</f>
        <v>2100.7687097735948</v>
      </c>
      <c r="K63" s="102">
        <v>0</v>
      </c>
      <c r="L63" s="103">
        <f>Configurations!$C$24*Constants!$D$63</f>
        <v>4</v>
      </c>
      <c r="M63" s="102">
        <v>0</v>
      </c>
      <c r="N63" s="102">
        <v>0</v>
      </c>
      <c r="O63" s="103">
        <v>0</v>
      </c>
      <c r="P63" s="102">
        <f t="shared" si="15"/>
        <v>0</v>
      </c>
      <c r="Q63" s="102">
        <f t="shared" si="16"/>
        <v>-2100.7687097735948</v>
      </c>
      <c r="R63" s="102">
        <f>'Analysis (A)'!Q63+'Analysis (Nothing)'!D24</f>
        <v>184.62274324482678</v>
      </c>
      <c r="S63" s="102">
        <f t="shared" si="17"/>
        <v>0</v>
      </c>
      <c r="T63" s="102">
        <f>U62*Configurations!$G$6</f>
        <v>20.99914422088235</v>
      </c>
      <c r="U63" s="102">
        <f t="shared" si="13"/>
        <v>48.998003182058817</v>
      </c>
      <c r="V63" s="102">
        <f t="shared" si="14"/>
        <v>163.62359902394442</v>
      </c>
      <c r="W63" s="102">
        <f>V63*Constants!$D$23</f>
        <v>16.362359902394441</v>
      </c>
      <c r="X63" s="102">
        <f t="shared" si="12"/>
        <v>168.26038334243233</v>
      </c>
      <c r="Y63" s="97">
        <f>X63*(1+Constants!$D$20)^-F63</f>
        <v>115.49910277697411</v>
      </c>
    </row>
    <row r="64" spans="6:25" x14ac:dyDescent="0.3">
      <c r="F64" s="99">
        <v>20</v>
      </c>
      <c r="G64" s="106">
        <f>G63*(1-Constants!$D$11)</f>
        <v>0.90461048027461755</v>
      </c>
      <c r="H64" s="101">
        <f>$C$17*(G64-Constants!$N$16)</f>
        <v>667.04151810939425</v>
      </c>
      <c r="I64" s="101">
        <f>Consumption!$C$2-'Analysis (A)'!H64</f>
        <v>7632.958481890606</v>
      </c>
      <c r="J64" s="102">
        <f>I64*'Grid Power'!K37</f>
        <v>2201.1759589447938</v>
      </c>
      <c r="K64" s="102">
        <v>0</v>
      </c>
      <c r="L64" s="103">
        <f>Configurations!$C$24*Constants!$D$63</f>
        <v>4</v>
      </c>
      <c r="M64" s="102">
        <v>0</v>
      </c>
      <c r="N64" s="102">
        <v>0</v>
      </c>
      <c r="O64" s="103">
        <v>0</v>
      </c>
      <c r="P64" s="102">
        <v>0</v>
      </c>
      <c r="Q64" s="102">
        <f t="shared" si="16"/>
        <v>-2201.1759589447938</v>
      </c>
      <c r="R64" s="102">
        <f>'Analysis (A)'!Q64+'Analysis (Nothing)'!D25</f>
        <v>192.37151673267044</v>
      </c>
      <c r="S64" s="102">
        <f t="shared" si="17"/>
        <v>0</v>
      </c>
      <c r="T64" s="102">
        <f>U63*Configurations!$G$6</f>
        <v>14.699400954617644</v>
      </c>
      <c r="U64" s="102">
        <f t="shared" si="13"/>
        <v>34.298602227441172</v>
      </c>
      <c r="V64" s="102">
        <f t="shared" si="14"/>
        <v>177.67211577805278</v>
      </c>
      <c r="W64" s="102">
        <f>V64*Constants!$D$23</f>
        <v>17.767211577805281</v>
      </c>
      <c r="X64" s="102">
        <f t="shared" si="12"/>
        <v>174.60430515486516</v>
      </c>
      <c r="Y64" s="97">
        <f>X64*(1+Constants!$D$20)^-F64</f>
        <v>117.50369200647573</v>
      </c>
    </row>
    <row r="65" spans="6:25" x14ac:dyDescent="0.3">
      <c r="F65" s="99">
        <v>21</v>
      </c>
      <c r="G65" s="106">
        <f>G64*(1-Constants!$D$11)</f>
        <v>0.90008742787324447</v>
      </c>
      <c r="H65" s="101">
        <f>$C$17*(G65-Constants!$N$16)</f>
        <v>663.63090540744702</v>
      </c>
      <c r="I65" s="101">
        <f>Consumption!$C$2-'Analysis (A)'!H65</f>
        <v>7636.3690945925528</v>
      </c>
      <c r="J65" s="102">
        <f>I65*'Grid Power'!K38</f>
        <v>2306.5722743637239</v>
      </c>
      <c r="K65" s="102">
        <v>0</v>
      </c>
      <c r="L65" s="103">
        <f>Configurations!$C$24*Constants!$D$63</f>
        <v>4</v>
      </c>
      <c r="M65" s="102">
        <v>0</v>
      </c>
      <c r="N65" s="102">
        <v>0</v>
      </c>
      <c r="O65" s="103">
        <v>0</v>
      </c>
      <c r="P65" s="102">
        <f t="shared" ref="P65:P83" si="18">IF(H65&lt;I65,0,H65-I65)</f>
        <v>0</v>
      </c>
      <c r="Q65" s="102">
        <f t="shared" si="16"/>
        <v>-2306.5722743637239</v>
      </c>
      <c r="R65" s="102">
        <f>'Analysis (A)'!Q65+'Analysis (Nothing)'!D26</f>
        <v>200.46240441660711</v>
      </c>
      <c r="S65" s="102">
        <f t="shared" si="17"/>
        <v>0</v>
      </c>
      <c r="T65" s="102">
        <f>U64*Configurations!$G$6</f>
        <v>10.289580668232352</v>
      </c>
      <c r="U65" s="102">
        <f t="shared" si="13"/>
        <v>24.009021559208819</v>
      </c>
      <c r="V65" s="102">
        <f t="shared" si="14"/>
        <v>190.17282374837475</v>
      </c>
      <c r="W65" s="102">
        <f>V65*Constants!$D$23</f>
        <v>19.017282374837475</v>
      </c>
      <c r="X65" s="102">
        <f t="shared" si="12"/>
        <v>181.44512204176965</v>
      </c>
      <c r="Y65" s="97">
        <f>X65*(1+Constants!$D$20)^-F65</f>
        <v>119.71310359451368</v>
      </c>
    </row>
    <row r="66" spans="6:25" x14ac:dyDescent="0.3">
      <c r="F66" s="99">
        <v>22</v>
      </c>
      <c r="G66" s="106">
        <f>G65*(1-Constants!$D$11)</f>
        <v>0.89558699073387826</v>
      </c>
      <c r="H66" s="101">
        <f>$C$17*(G66-Constants!$N$16)</f>
        <v>660.23734576900961</v>
      </c>
      <c r="I66" s="101">
        <f>Consumption!$C$2-'Analysis (A)'!H66</f>
        <v>7639.7626542309899</v>
      </c>
      <c r="J66" s="102">
        <f>I66*'Grid Power'!K39</f>
        <v>2417.2100714424637</v>
      </c>
      <c r="K66" s="102">
        <v>0</v>
      </c>
      <c r="L66" s="103">
        <f>Configurations!$C$24*Constants!$D$63</f>
        <v>4</v>
      </c>
      <c r="M66" s="102">
        <v>0</v>
      </c>
      <c r="N66" s="102">
        <v>0</v>
      </c>
      <c r="O66" s="103">
        <v>0</v>
      </c>
      <c r="P66" s="102">
        <f t="shared" si="18"/>
        <v>0</v>
      </c>
      <c r="Q66" s="102">
        <f t="shared" si="16"/>
        <v>-2417.2100714424637</v>
      </c>
      <c r="R66" s="102">
        <f>'Analysis (A)'!Q66+'Analysis (Nothing)'!D27</f>
        <v>208.91081599953259</v>
      </c>
      <c r="S66" s="102">
        <f t="shared" si="17"/>
        <v>0</v>
      </c>
      <c r="T66" s="102">
        <f>U65*Configurations!$G$6</f>
        <v>7.2027064677626456</v>
      </c>
      <c r="U66" s="102">
        <f t="shared" si="13"/>
        <v>16.806315091446173</v>
      </c>
      <c r="V66" s="102">
        <f t="shared" si="14"/>
        <v>201.70810953176994</v>
      </c>
      <c r="W66" s="102">
        <f>V66*Constants!$D$23</f>
        <v>20.170810953176996</v>
      </c>
      <c r="X66" s="102">
        <f t="shared" si="12"/>
        <v>188.74000504635558</v>
      </c>
      <c r="Y66" s="97">
        <f>X66*(1+Constants!$D$20)^-F66</f>
        <v>122.08440292855387</v>
      </c>
    </row>
    <row r="67" spans="6:25" x14ac:dyDescent="0.3">
      <c r="F67" s="99">
        <v>23</v>
      </c>
      <c r="G67" s="106">
        <f>G66*(1-Constants!$D$11)</f>
        <v>0.89110905578020883</v>
      </c>
      <c r="H67" s="101">
        <f>$C$17*(G67-Constants!$N$16)</f>
        <v>656.86075392876421</v>
      </c>
      <c r="I67" s="101">
        <f>Consumption!$C$2-'Analysis (A)'!H67</f>
        <v>7643.1392460712359</v>
      </c>
      <c r="J67" s="102">
        <f>I67*'Grid Power'!K40</f>
        <v>2533.3546360393757</v>
      </c>
      <c r="K67" s="102">
        <v>0</v>
      </c>
      <c r="L67" s="103">
        <f>Configurations!$C$24*Constants!$D$63</f>
        <v>4</v>
      </c>
      <c r="M67" s="102">
        <v>0</v>
      </c>
      <c r="N67" s="102">
        <v>0</v>
      </c>
      <c r="O67" s="103">
        <v>0</v>
      </c>
      <c r="P67" s="102">
        <f t="shared" si="18"/>
        <v>0</v>
      </c>
      <c r="Q67" s="102">
        <f t="shared" si="16"/>
        <v>-2533.3546360393757</v>
      </c>
      <c r="R67" s="102">
        <f>'Analysis (A)'!Q67+'Analysis (Nothing)'!D28</f>
        <v>217.73286038699598</v>
      </c>
      <c r="S67" s="102">
        <f t="shared" si="17"/>
        <v>0</v>
      </c>
      <c r="T67" s="102">
        <f>U66*Configurations!$G$6</f>
        <v>5.0418945274338514</v>
      </c>
      <c r="U67" s="102">
        <f t="shared" si="13"/>
        <v>11.764420564012323</v>
      </c>
      <c r="V67" s="102">
        <f t="shared" si="14"/>
        <v>212.69096585956214</v>
      </c>
      <c r="W67" s="102">
        <f>V67*Constants!$D$23</f>
        <v>21.269096585956216</v>
      </c>
      <c r="X67" s="102">
        <f t="shared" si="12"/>
        <v>196.46376380103976</v>
      </c>
      <c r="Y67" s="97">
        <f>X67*(1+Constants!$D$20)^-F67</f>
        <v>124.58865842757719</v>
      </c>
    </row>
    <row r="68" spans="6:25" x14ac:dyDescent="0.3">
      <c r="F68" s="99">
        <v>24</v>
      </c>
      <c r="G68" s="106">
        <f>G67*(1-Constants!$D$11)</f>
        <v>0.88665351050130781</v>
      </c>
      <c r="H68" s="101">
        <f>$C$17*(G68-Constants!$N$16)</f>
        <v>653.50104504772014</v>
      </c>
      <c r="I68" s="101">
        <f>Consumption!$C$2-'Analysis (A)'!H68</f>
        <v>7646.4989549522797</v>
      </c>
      <c r="J68" s="102">
        <f>I68*'Grid Power'!K41</f>
        <v>2655.2847827405039</v>
      </c>
      <c r="K68" s="102">
        <v>0</v>
      </c>
      <c r="L68" s="103">
        <f>Configurations!$C$24*Constants!$D$63</f>
        <v>4</v>
      </c>
      <c r="M68" s="102">
        <v>0</v>
      </c>
      <c r="N68" s="102">
        <v>0</v>
      </c>
      <c r="O68" s="103">
        <v>0</v>
      </c>
      <c r="P68" s="102">
        <f t="shared" si="18"/>
        <v>0</v>
      </c>
      <c r="Q68" s="102">
        <f t="shared" si="16"/>
        <v>-2655.2847827405039</v>
      </c>
      <c r="R68" s="102">
        <f>'Analysis (A)'!Q68+'Analysis (Nothing)'!D29</f>
        <v>226.94537749039273</v>
      </c>
      <c r="S68" s="102">
        <f t="shared" si="17"/>
        <v>0</v>
      </c>
      <c r="T68" s="102">
        <f>U67*Configurations!$G$6</f>
        <v>3.5293261692036966</v>
      </c>
      <c r="U68" s="102">
        <f t="shared" si="13"/>
        <v>8.2350943948086268</v>
      </c>
      <c r="V68" s="102">
        <f t="shared" si="14"/>
        <v>223.41605132118903</v>
      </c>
      <c r="W68" s="102">
        <f>V68*Constants!$D$23</f>
        <v>22.341605132118904</v>
      </c>
      <c r="X68" s="102">
        <f t="shared" si="12"/>
        <v>204.60377235827383</v>
      </c>
      <c r="Y68" s="97">
        <f>X68*(1+Constants!$D$20)^-F68</f>
        <v>127.2065617884867</v>
      </c>
    </row>
    <row r="69" spans="6:25" x14ac:dyDescent="0.3">
      <c r="F69" s="99">
        <v>25</v>
      </c>
      <c r="G69" s="106">
        <f>G68*(1-Constants!$D$11)</f>
        <v>0.8822202429488013</v>
      </c>
      <c r="H69" s="101">
        <f>$C$17*(G69-Constants!$N$16)</f>
        <v>650.15813471108129</v>
      </c>
      <c r="I69" s="101">
        <f>Consumption!$C$2-'Analysis (A)'!H69</f>
        <v>7649.8418652889186</v>
      </c>
      <c r="J69" s="102">
        <f>I69*'Grid Power'!K42</f>
        <v>2783.2935468446053</v>
      </c>
      <c r="K69" s="102">
        <v>0</v>
      </c>
      <c r="L69" s="103">
        <f>Configurations!$C$24*Constants!$D$63</f>
        <v>4</v>
      </c>
      <c r="M69" s="102">
        <v>0</v>
      </c>
      <c r="N69" s="102">
        <v>0</v>
      </c>
      <c r="O69" s="103">
        <v>0</v>
      </c>
      <c r="P69" s="102">
        <f t="shared" si="18"/>
        <v>0</v>
      </c>
      <c r="Q69" s="102">
        <f t="shared" si="16"/>
        <v>-2783.2935468446053</v>
      </c>
      <c r="R69" s="102">
        <f>'Analysis (A)'!Q69+'Analysis (Nothing)'!D30</f>
        <v>236.5659714775561</v>
      </c>
      <c r="S69" s="102">
        <f t="shared" si="17"/>
        <v>0</v>
      </c>
      <c r="T69" s="102">
        <f>U68*Configurations!$G$6</f>
        <v>2.4705283184425881</v>
      </c>
      <c r="U69" s="102">
        <f t="shared" si="13"/>
        <v>5.7645660763660391</v>
      </c>
      <c r="V69" s="102">
        <f t="shared" si="14"/>
        <v>234.09544315911353</v>
      </c>
      <c r="W69" s="102">
        <f>V69*Constants!$D$23</f>
        <v>23.409544315911354</v>
      </c>
      <c r="X69" s="102">
        <f t="shared" si="12"/>
        <v>213.15642716164476</v>
      </c>
      <c r="Y69" s="97">
        <f>X69*(1+Constants!$D$20)^-F69</f>
        <v>129.92542260653511</v>
      </c>
    </row>
    <row r="70" spans="6:25" x14ac:dyDescent="0.3">
      <c r="F70" s="99">
        <v>26</v>
      </c>
      <c r="G70" s="106">
        <f>G69*(1-Constants!$D$11)</f>
        <v>0.87780914173405733</v>
      </c>
      <c r="H70" s="101">
        <f>$C$17*(G70-Constants!$N$16)</f>
        <v>646.83193892612564</v>
      </c>
      <c r="I70" s="101">
        <f>Consumption!$C$2-'Analysis (A)'!H70</f>
        <v>7653.168061073874</v>
      </c>
      <c r="J70" s="102">
        <f>I70*'Grid Power'!K43</f>
        <v>2917.6889117777046</v>
      </c>
      <c r="K70" s="102">
        <v>0</v>
      </c>
      <c r="L70" s="103">
        <f>Configurations!$C$24*Constants!$D$63</f>
        <v>4</v>
      </c>
      <c r="M70" s="102">
        <v>0</v>
      </c>
      <c r="N70" s="102">
        <v>0</v>
      </c>
      <c r="O70" s="103">
        <v>0</v>
      </c>
      <c r="P70" s="102">
        <f t="shared" si="18"/>
        <v>0</v>
      </c>
      <c r="Q70" s="102">
        <f t="shared" si="16"/>
        <v>-2917.6889117777046</v>
      </c>
      <c r="R70" s="102">
        <f>'Analysis (A)'!Q70+'Analysis (Nothing)'!D31</f>
        <v>246.61304553660557</v>
      </c>
      <c r="S70" s="102">
        <f t="shared" si="17"/>
        <v>0</v>
      </c>
      <c r="T70" s="102">
        <f>U69*Configurations!$G$6</f>
        <v>1.7293698229098118</v>
      </c>
      <c r="U70" s="102">
        <f t="shared" si="13"/>
        <v>4.0351962534562276</v>
      </c>
      <c r="V70" s="102">
        <f t="shared" si="14"/>
        <v>244.88367571369577</v>
      </c>
      <c r="W70" s="102">
        <f>V70*Constants!$D$23</f>
        <v>24.488367571369579</v>
      </c>
      <c r="X70" s="102">
        <f t="shared" si="12"/>
        <v>222.124677965236</v>
      </c>
      <c r="Y70" s="97">
        <f>X70*(1+Constants!$D$20)^-F70</f>
        <v>132.73710620192549</v>
      </c>
    </row>
    <row r="71" spans="6:25" x14ac:dyDescent="0.3">
      <c r="F71" s="99">
        <v>27</v>
      </c>
      <c r="G71" s="106">
        <f>G70*(1-Constants!$D$11)</f>
        <v>0.87342009602538706</v>
      </c>
      <c r="H71" s="101">
        <f>$C$17*(G71-Constants!$N$16)</f>
        <v>643.52237412009481</v>
      </c>
      <c r="I71" s="101">
        <f>Consumption!$C$2-'Analysis (A)'!H71</f>
        <v>7656.4776258799047</v>
      </c>
      <c r="J71" s="102">
        <f>I71*'Grid Power'!K44</f>
        <v>3058.7945737514201</v>
      </c>
      <c r="K71" s="102">
        <v>0</v>
      </c>
      <c r="L71" s="103">
        <f>Configurations!$C$24*Constants!$D$63</f>
        <v>4</v>
      </c>
      <c r="M71" s="102">
        <v>0</v>
      </c>
      <c r="N71" s="102">
        <v>0</v>
      </c>
      <c r="O71" s="103">
        <v>0</v>
      </c>
      <c r="P71" s="102">
        <f t="shared" si="18"/>
        <v>0</v>
      </c>
      <c r="Q71" s="102">
        <f t="shared" si="16"/>
        <v>-3058.7945737514201</v>
      </c>
      <c r="R71" s="102">
        <f>'Analysis (A)'!Q71+'Analysis (Nothing)'!D32</f>
        <v>257.10583822190756</v>
      </c>
      <c r="S71" s="102">
        <f t="shared" si="17"/>
        <v>0</v>
      </c>
      <c r="T71" s="102">
        <f>U70*Configurations!$G$6</f>
        <v>1.2105588760368682</v>
      </c>
      <c r="U71" s="102">
        <f t="shared" si="13"/>
        <v>2.8246373774193594</v>
      </c>
      <c r="V71" s="102">
        <f t="shared" si="14"/>
        <v>255.8952793458707</v>
      </c>
      <c r="W71" s="102">
        <f>V71*Constants!$D$23</f>
        <v>25.589527934587071</v>
      </c>
      <c r="X71" s="102">
        <f t="shared" si="12"/>
        <v>231.51631028732049</v>
      </c>
      <c r="Y71" s="97">
        <f>X71*(1+Constants!$D$20)^-F71</f>
        <v>135.63661875329268</v>
      </c>
    </row>
    <row r="72" spans="6:25" x14ac:dyDescent="0.3">
      <c r="F72" s="99">
        <v>28</v>
      </c>
      <c r="G72" s="106">
        <f>G71*(1-Constants!$D$11)</f>
        <v>0.86905299554526017</v>
      </c>
      <c r="H72" s="101">
        <f>$C$17*(G72-Constants!$N$16)</f>
        <v>640.22935713809409</v>
      </c>
      <c r="I72" s="101">
        <f>Consumption!$C$2-'Analysis (A)'!H72</f>
        <v>7659.7706428619058</v>
      </c>
      <c r="J72" s="102">
        <f>I72*'Grid Power'!K45</f>
        <v>3206.9507455722019</v>
      </c>
      <c r="K72" s="102">
        <v>0</v>
      </c>
      <c r="L72" s="103">
        <f>Configurations!$C$24*Constants!$D$63</f>
        <v>4</v>
      </c>
      <c r="M72" s="102">
        <v>0</v>
      </c>
      <c r="N72" s="102">
        <v>0</v>
      </c>
      <c r="O72" s="103">
        <v>0</v>
      </c>
      <c r="P72" s="102">
        <f t="shared" si="18"/>
        <v>0</v>
      </c>
      <c r="Q72" s="102">
        <f t="shared" si="16"/>
        <v>-3206.9507455722019</v>
      </c>
      <c r="R72" s="102">
        <f>'Analysis (A)'!Q72+'Analysis (Nothing)'!D33</f>
        <v>268.0644614541452</v>
      </c>
      <c r="S72" s="102">
        <f t="shared" si="17"/>
        <v>0</v>
      </c>
      <c r="T72" s="102">
        <f>U71*Configurations!$G$6</f>
        <v>0.84739121322580779</v>
      </c>
      <c r="U72" s="102">
        <f t="shared" si="13"/>
        <v>1.9772461641935517</v>
      </c>
      <c r="V72" s="102">
        <f t="shared" si="14"/>
        <v>267.21707024091938</v>
      </c>
      <c r="W72" s="102">
        <f>V72*Constants!$D$23</f>
        <v>26.721707024091941</v>
      </c>
      <c r="X72" s="102">
        <f t="shared" si="12"/>
        <v>241.34275443005328</v>
      </c>
      <c r="Y72" s="97">
        <f>X72*(1+Constants!$D$20)^-F72</f>
        <v>138.62113667013733</v>
      </c>
    </row>
    <row r="73" spans="6:25" x14ac:dyDescent="0.3">
      <c r="F73" s="99">
        <v>29</v>
      </c>
      <c r="G73" s="106">
        <f>G72*(1-Constants!$D$11)</f>
        <v>0.86470773056753381</v>
      </c>
      <c r="H73" s="101">
        <f>$C$17*(G73-Constants!$N$16)</f>
        <v>636.95280524100338</v>
      </c>
      <c r="I73" s="101">
        <f>Consumption!$C$2-'Analysis (A)'!H73</f>
        <v>7663.0471947589967</v>
      </c>
      <c r="J73" s="102">
        <f>I73*'Grid Power'!K46</f>
        <v>3362.5150016062494</v>
      </c>
      <c r="K73" s="102">
        <v>0</v>
      </c>
      <c r="L73" s="103">
        <f>Configurations!$C$24*Constants!$D$63</f>
        <v>4</v>
      </c>
      <c r="M73" s="102">
        <v>0</v>
      </c>
      <c r="N73" s="102">
        <v>0</v>
      </c>
      <c r="O73" s="103">
        <v>0</v>
      </c>
      <c r="P73" s="102">
        <f t="shared" si="18"/>
        <v>0</v>
      </c>
      <c r="Q73" s="102">
        <f t="shared" si="16"/>
        <v>-3362.5150016062494</v>
      </c>
      <c r="R73" s="102">
        <f>'Analysis (A)'!Q73+'Analysis (Nothing)'!D34</f>
        <v>279.50994024975307</v>
      </c>
      <c r="S73" s="102">
        <f t="shared" si="17"/>
        <v>0</v>
      </c>
      <c r="T73" s="102">
        <f>U72*Configurations!$G$6</f>
        <v>0.59317384925806549</v>
      </c>
      <c r="U73" s="102">
        <f t="shared" si="13"/>
        <v>1.3840723149354863</v>
      </c>
      <c r="V73" s="102">
        <f t="shared" si="14"/>
        <v>278.91676640049502</v>
      </c>
      <c r="W73" s="102">
        <f>V73*Constants!$D$23</f>
        <v>27.891676640049504</v>
      </c>
      <c r="X73" s="102">
        <f t="shared" si="12"/>
        <v>251.61826360970358</v>
      </c>
      <c r="Y73" s="97">
        <f>X73*(1+Constants!$D$20)^-F73</f>
        <v>141.68934084408272</v>
      </c>
    </row>
    <row r="74" spans="6:25" x14ac:dyDescent="0.3">
      <c r="F74" s="99">
        <v>30</v>
      </c>
      <c r="G74" s="106">
        <f>G73*(1-Constants!$D$11)</f>
        <v>0.86038419191469617</v>
      </c>
      <c r="H74" s="101">
        <f>$C$17*(G74-Constants!$N$16)</f>
        <v>633.69263610339817</v>
      </c>
      <c r="I74" s="101">
        <f>Consumption!$C$2-'Analysis (A)'!H74</f>
        <v>7666.3073638966016</v>
      </c>
      <c r="J74" s="102">
        <f>I74*'Grid Power'!K47</f>
        <v>3525.8631660075353</v>
      </c>
      <c r="K74" s="102">
        <v>0</v>
      </c>
      <c r="L74" s="103">
        <f>Configurations!$C$24*Constants!$D$63</f>
        <v>4</v>
      </c>
      <c r="M74" s="102">
        <f>IF(MOD(F74,Configurations!$I$7)=0,Configurations!$C$16,0)</f>
        <v>942.375</v>
      </c>
      <c r="N74" s="102">
        <v>0</v>
      </c>
      <c r="O74" s="103">
        <v>0</v>
      </c>
      <c r="P74" s="102">
        <f t="shared" si="18"/>
        <v>0</v>
      </c>
      <c r="Q74" s="102">
        <f t="shared" si="16"/>
        <v>-4468.2381660075353</v>
      </c>
      <c r="R74" s="102">
        <f>'Analysis (A)'!Q74+'Analysis (Nothing)'!D35</f>
        <v>-650.9107457415962</v>
      </c>
      <c r="S74" s="102">
        <f t="shared" si="17"/>
        <v>471.1875</v>
      </c>
      <c r="T74" s="102">
        <f>U73*Configurations!$G$6</f>
        <v>0.41522169448064589</v>
      </c>
      <c r="U74" s="102">
        <f t="shared" si="13"/>
        <v>472.15635062045487</v>
      </c>
      <c r="V74" s="102">
        <f t="shared" si="14"/>
        <v>0</v>
      </c>
      <c r="W74" s="102">
        <f>V74*Constants!$D$23</f>
        <v>0</v>
      </c>
      <c r="X74" s="102">
        <f t="shared" si="12"/>
        <v>-650.9107457415962</v>
      </c>
      <c r="Y74" s="97">
        <f>X74*(1+Constants!$D$20)^-F74</f>
        <v>-359.34887404814049</v>
      </c>
    </row>
    <row r="75" spans="6:25" x14ac:dyDescent="0.3">
      <c r="F75" s="99">
        <v>31</v>
      </c>
      <c r="G75" s="106">
        <f>G74*(1-Constants!$D$11)</f>
        <v>0.85608227095512268</v>
      </c>
      <c r="H75" s="101">
        <f>$C$17*(G75-Constants!$N$16)</f>
        <v>630.44876781148082</v>
      </c>
      <c r="I75" s="101">
        <f>Consumption!$C$2-'Analysis (A)'!H75</f>
        <v>7669.551232188519</v>
      </c>
      <c r="J75" s="102">
        <f>I75*'Grid Power'!K48</f>
        <v>3697.3902464242224</v>
      </c>
      <c r="K75" s="102">
        <v>0</v>
      </c>
      <c r="L75" s="103">
        <f>Configurations!$C$24*Constants!$D$63</f>
        <v>4</v>
      </c>
      <c r="M75" s="102">
        <v>0</v>
      </c>
      <c r="N75" s="102">
        <v>0</v>
      </c>
      <c r="O75" s="103">
        <v>0</v>
      </c>
      <c r="P75" s="102">
        <f t="shared" si="18"/>
        <v>0</v>
      </c>
      <c r="Q75" s="102">
        <f t="shared" ref="Q75:Q84" si="19">N75+P75-L75-K75-J75</f>
        <v>-3701.3902464242224</v>
      </c>
      <c r="R75" s="102">
        <f>'Analysis (A)'!Q75+'Analysis (Nothing)'!D36</f>
        <v>299.9503811908171</v>
      </c>
      <c r="S75" s="102">
        <f t="shared" si="17"/>
        <v>471.1875</v>
      </c>
      <c r="T75" s="102">
        <f>U74*Configurations!$G$6</f>
        <v>141.64690518613645</v>
      </c>
      <c r="U75" s="102">
        <f t="shared" si="13"/>
        <v>801.69694543431842</v>
      </c>
      <c r="V75" s="102">
        <f t="shared" si="14"/>
        <v>158.30347600468065</v>
      </c>
      <c r="W75" s="102">
        <f>V75*Constants!$D$23</f>
        <v>15.830347600468066</v>
      </c>
      <c r="X75" s="102">
        <f t="shared" si="12"/>
        <v>284.12003359034901</v>
      </c>
      <c r="Y75" s="97">
        <f>X75*(1+Constants!$D$20)^-F75</f>
        <v>153.77882306002596</v>
      </c>
    </row>
    <row r="76" spans="6:25" x14ac:dyDescent="0.3">
      <c r="F76" s="99">
        <v>32</v>
      </c>
      <c r="G76" s="106">
        <f>G75*(1-Constants!$D$11)</f>
        <v>0.85180185960034704</v>
      </c>
      <c r="H76" s="101">
        <f>$C$17*(G76-Constants!$N$16)</f>
        <v>627.22111886102323</v>
      </c>
      <c r="I76" s="101">
        <f>Consumption!$C$2-'Analysis (A)'!H76</f>
        <v>7672.7788811389764</v>
      </c>
      <c r="J76" s="102">
        <f>I76*'Grid Power'!K49</f>
        <v>3877.5114155121942</v>
      </c>
      <c r="K76" s="102">
        <v>0</v>
      </c>
      <c r="L76" s="103">
        <f>Configurations!$C$24*Constants!$D$63</f>
        <v>4</v>
      </c>
      <c r="M76" s="102">
        <v>0</v>
      </c>
      <c r="N76" s="102">
        <v>0</v>
      </c>
      <c r="O76" s="103">
        <v>0</v>
      </c>
      <c r="P76" s="102">
        <f t="shared" si="18"/>
        <v>0</v>
      </c>
      <c r="Q76" s="102">
        <f t="shared" si="19"/>
        <v>-3881.5114155121942</v>
      </c>
      <c r="R76" s="102">
        <f>'Analysis (A)'!Q76+'Analysis (Nothing)'!D37</f>
        <v>312.99234222289078</v>
      </c>
      <c r="S76" s="102">
        <v>0</v>
      </c>
      <c r="T76" s="102">
        <f>U75*Configurations!$G$6</f>
        <v>240.50908363029552</v>
      </c>
      <c r="U76" s="102">
        <f t="shared" si="13"/>
        <v>561.18786180402287</v>
      </c>
      <c r="V76" s="102">
        <f t="shared" si="14"/>
        <v>72.483258592595263</v>
      </c>
      <c r="W76" s="102">
        <f>V76*Constants!$D$23</f>
        <v>7.248325859259527</v>
      </c>
      <c r="X76" s="102">
        <f t="shared" si="12"/>
        <v>305.74401636363126</v>
      </c>
      <c r="Y76" s="97">
        <f>X76*(1+Constants!$D$20)^-F76</f>
        <v>162.23795743383187</v>
      </c>
    </row>
    <row r="77" spans="6:25" x14ac:dyDescent="0.3">
      <c r="F77" s="99">
        <v>33</v>
      </c>
      <c r="G77" s="106">
        <f>G76*(1-Constants!$D$11)</f>
        <v>0.84754285030234533</v>
      </c>
      <c r="H77" s="101">
        <f>$C$17*(G77-Constants!$N$16)</f>
        <v>624.00960815531789</v>
      </c>
      <c r="I77" s="101">
        <f>Consumption!$C$2-'Analysis (A)'!H77</f>
        <v>7675.9903918446817</v>
      </c>
      <c r="J77" s="102">
        <f>I77*'Grid Power'!K50</f>
        <v>4066.6630427036348</v>
      </c>
      <c r="K77" s="102">
        <v>0</v>
      </c>
      <c r="L77" s="103">
        <f>Configurations!$C$24*Constants!$D$63</f>
        <v>4</v>
      </c>
      <c r="M77" s="102">
        <v>0</v>
      </c>
      <c r="N77" s="102">
        <v>0</v>
      </c>
      <c r="O77" s="103">
        <v>0</v>
      </c>
      <c r="P77" s="102">
        <f t="shared" si="18"/>
        <v>0</v>
      </c>
      <c r="Q77" s="102">
        <f t="shared" si="19"/>
        <v>-4070.6630427036348</v>
      </c>
      <c r="R77" s="102">
        <f>'Analysis (A)'!Q77+'Analysis (Nothing)'!D38</f>
        <v>326.61524946607506</v>
      </c>
      <c r="S77" s="102">
        <v>0</v>
      </c>
      <c r="T77" s="102">
        <f>U76*Configurations!$G$6</f>
        <v>168.35635854120684</v>
      </c>
      <c r="U77" s="102">
        <f t="shared" si="13"/>
        <v>392.831503262816</v>
      </c>
      <c r="V77" s="102">
        <f t="shared" si="14"/>
        <v>158.25889092486821</v>
      </c>
      <c r="W77" s="102">
        <f>V77*Constants!$D$23</f>
        <v>15.825889092486822</v>
      </c>
      <c r="X77" s="102">
        <f t="shared" si="12"/>
        <v>310.78936037358824</v>
      </c>
      <c r="Y77" s="97">
        <f>X77*(1+Constants!$D$20)^-F77</f>
        <v>161.68155391492061</v>
      </c>
    </row>
    <row r="78" spans="6:25" x14ac:dyDescent="0.3">
      <c r="F78" s="99">
        <v>34</v>
      </c>
      <c r="G78" s="106">
        <f>G77*(1-Constants!$D$11)</f>
        <v>0.84330513605083357</v>
      </c>
      <c r="H78" s="101">
        <f>$C$17*(G78-Constants!$N$16)</f>
        <v>620.81415500314097</v>
      </c>
      <c r="I78" s="101">
        <f>Consumption!$C$2-'Analysis (A)'!H78</f>
        <v>7679.1858449968586</v>
      </c>
      <c r="J78" s="102">
        <f>I78*'Grid Power'!K51</f>
        <v>4265.3037788038919</v>
      </c>
      <c r="K78" s="102">
        <v>0</v>
      </c>
      <c r="L78" s="103">
        <f>Configurations!$C$24*Constants!$D$63</f>
        <v>4</v>
      </c>
      <c r="M78" s="102">
        <v>0</v>
      </c>
      <c r="N78" s="102">
        <v>0</v>
      </c>
      <c r="O78" s="103">
        <v>0</v>
      </c>
      <c r="P78" s="102">
        <f t="shared" si="18"/>
        <v>0</v>
      </c>
      <c r="Q78" s="102">
        <f t="shared" si="19"/>
        <v>-4269.3037788038919</v>
      </c>
      <c r="R78" s="102">
        <f>'Analysis (A)'!Q78+'Analysis (Nothing)'!D39</f>
        <v>340.84535559799133</v>
      </c>
      <c r="S78" s="102">
        <v>0</v>
      </c>
      <c r="T78" s="102">
        <f>U77*Configurations!$G$6</f>
        <v>117.8494509788448</v>
      </c>
      <c r="U78" s="102">
        <f t="shared" si="13"/>
        <v>274.9820522839712</v>
      </c>
      <c r="V78" s="102">
        <f t="shared" si="14"/>
        <v>222.99590461914653</v>
      </c>
      <c r="W78" s="102">
        <f>V78*Constants!$D$23</f>
        <v>22.299590461914654</v>
      </c>
      <c r="X78" s="102">
        <f t="shared" si="12"/>
        <v>318.54576513607668</v>
      </c>
      <c r="Y78" s="97">
        <f>X78*(1+Constants!$D$20)^-F78</f>
        <v>162.46731226043775</v>
      </c>
    </row>
    <row r="79" spans="6:25" x14ac:dyDescent="0.3">
      <c r="F79" s="99">
        <v>35</v>
      </c>
      <c r="G79" s="106">
        <f>G78*(1-Constants!$D$11)</f>
        <v>0.83908861037057936</v>
      </c>
      <c r="H79" s="101">
        <f>$C$17*(G79-Constants!$N$16)</f>
        <v>617.63467911672501</v>
      </c>
      <c r="I79" s="101">
        <f>Consumption!$C$2-'Analysis (A)'!H79</f>
        <v>7682.3653208832748</v>
      </c>
      <c r="J79" s="102">
        <f>I79*'Grid Power'!K52</f>
        <v>4473.9156961216104</v>
      </c>
      <c r="K79" s="102">
        <v>0</v>
      </c>
      <c r="L79" s="103">
        <f>Configurations!$C$24*Constants!$D$63</f>
        <v>4</v>
      </c>
      <c r="M79" s="102">
        <v>0</v>
      </c>
      <c r="N79" s="102">
        <v>0</v>
      </c>
      <c r="O79" s="103">
        <v>0</v>
      </c>
      <c r="P79" s="102">
        <f t="shared" si="18"/>
        <v>0</v>
      </c>
      <c r="Q79" s="102">
        <f t="shared" si="19"/>
        <v>-4477.9156961216104</v>
      </c>
      <c r="R79" s="102">
        <f>'Analysis (A)'!Q79+'Analysis (Nothing)'!D40</f>
        <v>355.71010575158016</v>
      </c>
      <c r="S79" s="102">
        <v>0</v>
      </c>
      <c r="T79" s="102">
        <f>U78*Configurations!$G$6</f>
        <v>82.494615685191363</v>
      </c>
      <c r="U79" s="102">
        <f t="shared" si="13"/>
        <v>192.48743659877982</v>
      </c>
      <c r="V79" s="102">
        <f t="shared" si="14"/>
        <v>273.21549006638878</v>
      </c>
      <c r="W79" s="102">
        <f>V79*Constants!$D$23</f>
        <v>27.321549006638879</v>
      </c>
      <c r="X79" s="102">
        <f t="shared" si="12"/>
        <v>328.3885567449413</v>
      </c>
      <c r="Y79" s="97">
        <f>X79*(1+Constants!$D$20)^-F79</f>
        <v>164.20334628367718</v>
      </c>
    </row>
    <row r="80" spans="6:25" x14ac:dyDescent="0.3">
      <c r="F80" s="99">
        <v>36</v>
      </c>
      <c r="G80" s="106">
        <f>G79*(1-Constants!$D$11)</f>
        <v>0.83489316731872643</v>
      </c>
      <c r="H80" s="101">
        <f>$C$17*(G80-Constants!$N$16)</f>
        <v>614.47110060974103</v>
      </c>
      <c r="I80" s="101">
        <f>Consumption!$C$2-'Analysis (A)'!H80</f>
        <v>7685.5288993902586</v>
      </c>
      <c r="J80" s="102">
        <f>I80*'Grid Power'!K53</f>
        <v>4693.0054869755768</v>
      </c>
      <c r="K80" s="102">
        <v>0</v>
      </c>
      <c r="L80" s="103">
        <f>Configurations!$C$24*Constants!$D$63</f>
        <v>4</v>
      </c>
      <c r="M80" s="102">
        <v>0</v>
      </c>
      <c r="N80" s="102">
        <v>0</v>
      </c>
      <c r="O80" s="103">
        <v>0</v>
      </c>
      <c r="P80" s="102">
        <f t="shared" si="18"/>
        <v>0</v>
      </c>
      <c r="Q80" s="102">
        <f t="shared" si="19"/>
        <v>-4697.0054869755768</v>
      </c>
      <c r="R80" s="102">
        <f>'Analysis (A)'!Q80+'Analysis (Nothing)'!D41</f>
        <v>371.23819176552934</v>
      </c>
      <c r="S80" s="102">
        <v>0</v>
      </c>
      <c r="T80" s="102">
        <f>U79*Configurations!$G$6</f>
        <v>57.746230979633943</v>
      </c>
      <c r="U80" s="102">
        <f t="shared" si="13"/>
        <v>134.74120561914589</v>
      </c>
      <c r="V80" s="102">
        <f t="shared" si="14"/>
        <v>313.4919607858954</v>
      </c>
      <c r="W80" s="102">
        <f>V80*Constants!$D$23</f>
        <v>31.349196078589543</v>
      </c>
      <c r="X80" s="102">
        <f t="shared" si="12"/>
        <v>339.88899568693978</v>
      </c>
      <c r="Y80" s="97">
        <f>X80*(1+Constants!$D$20)^-F80</f>
        <v>166.62145423571474</v>
      </c>
    </row>
    <row r="81" spans="6:25" x14ac:dyDescent="0.3">
      <c r="F81" s="99">
        <v>37</v>
      </c>
      <c r="G81" s="106">
        <f>G80*(1-Constants!$D$11)</f>
        <v>0.83071870148213278</v>
      </c>
      <c r="H81" s="101">
        <f>$C$17*(G81-Constants!$N$16)</f>
        <v>611.32333999529214</v>
      </c>
      <c r="I81" s="101">
        <f>Consumption!$C$2-'Analysis (A)'!H81</f>
        <v>7688.6766600047076</v>
      </c>
      <c r="J81" s="102">
        <f>I81*'Grid Power'!K54</f>
        <v>4923.1057235672897</v>
      </c>
      <c r="K81" s="102">
        <v>0</v>
      </c>
      <c r="L81" s="103">
        <f>Configurations!$C$24*Constants!$D$63</f>
        <v>4</v>
      </c>
      <c r="M81" s="102">
        <v>0</v>
      </c>
      <c r="N81" s="102">
        <v>0</v>
      </c>
      <c r="O81" s="103">
        <v>0</v>
      </c>
      <c r="P81" s="102">
        <f t="shared" si="18"/>
        <v>0</v>
      </c>
      <c r="Q81" s="102">
        <f t="shared" si="19"/>
        <v>-4927.1057235672897</v>
      </c>
      <c r="R81" s="102">
        <f>'Analysis (A)'!Q81+'Analysis (Nothing)'!D42</f>
        <v>387.45960890338665</v>
      </c>
      <c r="S81" s="102">
        <v>0</v>
      </c>
      <c r="T81" s="102">
        <f>U80*Configurations!$G$6</f>
        <v>40.422361685743766</v>
      </c>
      <c r="U81" s="102">
        <f t="shared" si="13"/>
        <v>94.318843933402121</v>
      </c>
      <c r="V81" s="102">
        <f t="shared" si="14"/>
        <v>347.03724721764286</v>
      </c>
      <c r="W81" s="102">
        <f>V81*Constants!$D$23</f>
        <v>34.703724721764289</v>
      </c>
      <c r="X81" s="102">
        <f t="shared" si="12"/>
        <v>352.75588418162238</v>
      </c>
      <c r="Y81" s="97">
        <f>X81*(1+Constants!$D$20)^-F81</f>
        <v>169.53833416549918</v>
      </c>
    </row>
    <row r="82" spans="6:25" x14ac:dyDescent="0.3">
      <c r="F82" s="99">
        <v>38</v>
      </c>
      <c r="G82" s="106">
        <f>G81*(1-Constants!$D$11)</f>
        <v>0.82656510797472216</v>
      </c>
      <c r="H82" s="101">
        <f>$C$17*(G82-Constants!$N$16)</f>
        <v>608.19131818391543</v>
      </c>
      <c r="I82" s="101">
        <f>Consumption!$C$2-'Analysis (A)'!H82</f>
        <v>7691.8086818160846</v>
      </c>
      <c r="J82" s="102">
        <f>I82*'Grid Power'!K55</f>
        <v>5164.7761823612645</v>
      </c>
      <c r="K82" s="102">
        <v>0</v>
      </c>
      <c r="L82" s="103">
        <f>Configurations!$C$24*Constants!$D$63</f>
        <v>4</v>
      </c>
      <c r="M82" s="102">
        <v>0</v>
      </c>
      <c r="N82" s="102">
        <v>0</v>
      </c>
      <c r="O82" s="103">
        <v>0</v>
      </c>
      <c r="P82" s="102">
        <f t="shared" si="18"/>
        <v>0</v>
      </c>
      <c r="Q82" s="102">
        <f t="shared" si="19"/>
        <v>-5168.7761823612645</v>
      </c>
      <c r="R82" s="102">
        <f>'Analysis (A)'!Q82+'Analysis (Nothing)'!D43</f>
        <v>404.40571515369356</v>
      </c>
      <c r="S82" s="102">
        <v>0</v>
      </c>
      <c r="T82" s="102">
        <f>U81*Configurations!$G$6</f>
        <v>28.295653180020636</v>
      </c>
      <c r="U82" s="102">
        <f t="shared" si="13"/>
        <v>66.023190753381485</v>
      </c>
      <c r="V82" s="102">
        <f t="shared" si="14"/>
        <v>376.11006197367294</v>
      </c>
      <c r="W82" s="102">
        <f>V82*Constants!$D$23</f>
        <v>37.611006197367296</v>
      </c>
      <c r="X82" s="102">
        <f t="shared" si="12"/>
        <v>366.79470895632625</v>
      </c>
      <c r="Y82" s="97">
        <f>X82*(1+Constants!$D$20)^-F82</f>
        <v>172.82896747126844</v>
      </c>
    </row>
    <row r="83" spans="6:25" x14ac:dyDescent="0.3">
      <c r="F83" s="99">
        <v>39</v>
      </c>
      <c r="G83" s="106">
        <f>G82*(1-Constants!$D$11)</f>
        <v>0.82243228243484856</v>
      </c>
      <c r="H83" s="101">
        <f>$C$17*(G83-Constants!$N$16)</f>
        <v>605.07495648159556</v>
      </c>
      <c r="I83" s="101">
        <f>Consumption!$C$2-'Analysis (A)'!H83</f>
        <v>7694.925043518404</v>
      </c>
      <c r="J83" s="102">
        <f>I83*'Grid Power'!K56</f>
        <v>5418.605236275921</v>
      </c>
      <c r="K83" s="102">
        <v>0</v>
      </c>
      <c r="L83" s="103">
        <f>Configurations!$C$24*Constants!$D$63</f>
        <v>4</v>
      </c>
      <c r="M83" s="102">
        <v>0</v>
      </c>
      <c r="N83" s="102">
        <v>0</v>
      </c>
      <c r="O83" s="103">
        <v>0</v>
      </c>
      <c r="P83" s="102">
        <f t="shared" si="18"/>
        <v>0</v>
      </c>
      <c r="Q83" s="102">
        <f t="shared" si="19"/>
        <v>-5422.605236275921</v>
      </c>
      <c r="R83" s="102">
        <f>'Analysis (A)'!Q83+'Analysis (Nothing)'!D44</f>
        <v>422.10929322851916</v>
      </c>
      <c r="S83" s="102">
        <v>0</v>
      </c>
      <c r="T83" s="102">
        <f>U82*Configurations!$G$6</f>
        <v>19.806957226014443</v>
      </c>
      <c r="U83" s="102">
        <f t="shared" si="13"/>
        <v>46.216233527367038</v>
      </c>
      <c r="V83" s="102">
        <f t="shared" si="14"/>
        <v>402.30233600250472</v>
      </c>
      <c r="W83" s="102">
        <f>V83*Constants!$D$23</f>
        <v>40.230233600250472</v>
      </c>
      <c r="X83" s="102">
        <f t="shared" si="12"/>
        <v>381.87905962826869</v>
      </c>
      <c r="Y83" s="97">
        <f>X83*(1+Constants!$D$20)^-F83</f>
        <v>176.40835318290618</v>
      </c>
    </row>
    <row r="84" spans="6:25" x14ac:dyDescent="0.3">
      <c r="F84" s="107">
        <v>40</v>
      </c>
      <c r="G84" s="108">
        <f>G83*(1-Constants!$D$11)</f>
        <v>0.81832012102267426</v>
      </c>
      <c r="H84" s="109">
        <f>$C$17*(G84-Constants!$N$16)</f>
        <v>601.97417658778727</v>
      </c>
      <c r="I84" s="109">
        <f>Consumption!$C$2-'Analysis (A)'!H84</f>
        <v>7698.025823412213</v>
      </c>
      <c r="J84" s="110">
        <f>I84*'Grid Power'!K57</f>
        <v>5685.2113181569785</v>
      </c>
      <c r="K84" s="110">
        <v>0</v>
      </c>
      <c r="L84" s="111">
        <f>Configurations!$C$24*Constants!$D$63</f>
        <v>4</v>
      </c>
      <c r="M84" s="110">
        <v>0</v>
      </c>
      <c r="N84" s="110">
        <v>0</v>
      </c>
      <c r="O84" s="111">
        <v>0</v>
      </c>
      <c r="P84" s="110">
        <f>U84</f>
        <v>32.351363469156929</v>
      </c>
      <c r="Q84" s="110">
        <f t="shared" si="19"/>
        <v>-5656.8599546878213</v>
      </c>
      <c r="R84" s="110">
        <f>'Analysis (A)'!Q84+'Analysis (Nothing)'!D45</f>
        <v>472.9559788523211</v>
      </c>
      <c r="S84" s="110">
        <v>0</v>
      </c>
      <c r="T84" s="110">
        <f>U83*Configurations!$G$6</f>
        <v>13.86487005821011</v>
      </c>
      <c r="U84" s="110">
        <f t="shared" si="13"/>
        <v>32.351363469156929</v>
      </c>
      <c r="V84" s="110">
        <f t="shared" si="14"/>
        <v>459.09110879411099</v>
      </c>
      <c r="W84" s="110">
        <f>V84*Constants!$D$23</f>
        <v>45.909110879411102</v>
      </c>
      <c r="X84" s="110">
        <f t="shared" si="12"/>
        <v>427.04686797290998</v>
      </c>
      <c r="Y84" s="105">
        <f>X84*(1+Constants!$D$20)^-F84</f>
        <v>193.40543333980605</v>
      </c>
    </row>
    <row r="86" spans="6:25" x14ac:dyDescent="0.3">
      <c r="F86" s="275" t="s">
        <v>216</v>
      </c>
      <c r="G86" s="275"/>
      <c r="H86" s="275"/>
      <c r="I86" s="275"/>
      <c r="J86" s="275"/>
      <c r="K86" s="275"/>
      <c r="L86" s="275"/>
      <c r="M86" s="149"/>
      <c r="R86" s="121"/>
    </row>
    <row r="87" spans="6:25" x14ac:dyDescent="0.3">
      <c r="F87" s="282" t="s">
        <v>184</v>
      </c>
      <c r="G87" s="282"/>
      <c r="H87" s="282"/>
      <c r="I87" s="282"/>
      <c r="J87" s="282"/>
      <c r="K87" s="282" t="s">
        <v>183</v>
      </c>
      <c r="L87" s="282"/>
      <c r="M87" s="152"/>
      <c r="R87" s="121"/>
    </row>
    <row r="88" spans="6:25" x14ac:dyDescent="0.3">
      <c r="F88" s="282" t="str">
        <f>F4</f>
        <v>Year</v>
      </c>
      <c r="G88" s="283" t="str">
        <f>G5</f>
        <v>Solar efficiency</v>
      </c>
      <c r="H88" s="282" t="s">
        <v>180</v>
      </c>
      <c r="I88" s="92" t="s">
        <v>181</v>
      </c>
      <c r="J88" s="92" t="s">
        <v>182</v>
      </c>
      <c r="K88" s="282" t="s">
        <v>185</v>
      </c>
      <c r="L88" s="92" t="s">
        <v>179</v>
      </c>
      <c r="M88" s="152"/>
    </row>
    <row r="89" spans="6:25" x14ac:dyDescent="0.3">
      <c r="F89" s="282"/>
      <c r="G89" s="283"/>
      <c r="H89" s="282"/>
      <c r="I89" s="92" t="s">
        <v>62</v>
      </c>
      <c r="J89" s="92" t="s">
        <v>59</v>
      </c>
      <c r="K89" s="282"/>
      <c r="L89" s="92" t="s">
        <v>59</v>
      </c>
      <c r="M89" s="152"/>
    </row>
    <row r="90" spans="6:25" x14ac:dyDescent="0.3">
      <c r="F90" s="99">
        <v>0</v>
      </c>
      <c r="G90" s="100">
        <v>1</v>
      </c>
      <c r="H90" s="100">
        <f>1-G90</f>
        <v>0</v>
      </c>
      <c r="I90" s="122">
        <f t="shared" ref="I90:I130" si="20">H90*$C$17</f>
        <v>0</v>
      </c>
      <c r="J90" s="102">
        <f>I90*'Grid Power'!K17</f>
        <v>0</v>
      </c>
      <c r="K90" s="114">
        <f>F90</f>
        <v>0</v>
      </c>
      <c r="L90" s="123">
        <v>0</v>
      </c>
      <c r="M90" s="153"/>
    </row>
    <row r="91" spans="6:25" x14ac:dyDescent="0.3">
      <c r="F91" s="99">
        <v>1</v>
      </c>
      <c r="G91" s="106">
        <f>G90*(1-Constants!$D$11)</f>
        <v>0.995</v>
      </c>
      <c r="H91" s="100">
        <f t="shared" ref="H91:H130" si="21">1-G91</f>
        <v>5.0000000000000044E-3</v>
      </c>
      <c r="I91" s="122">
        <f t="shared" si="20"/>
        <v>3.7702555700126861</v>
      </c>
      <c r="J91" s="102">
        <f>I91*'Grid Power'!K18</f>
        <v>0.45921955647213225</v>
      </c>
      <c r="K91" s="114">
        <f>F91</f>
        <v>1</v>
      </c>
      <c r="L91" s="123">
        <f>PMT(3%,K91,-NPV(3%,$J$91:J91))+Configurations!$C$15/'Analysis (A)'!K91</f>
        <v>1000.0592195564722</v>
      </c>
      <c r="M91" s="153"/>
      <c r="N91" s="124">
        <f>MIN($L$91:$L$130)</f>
        <v>46.440847933891078</v>
      </c>
    </row>
    <row r="92" spans="6:25" x14ac:dyDescent="0.3">
      <c r="F92" s="99">
        <v>2</v>
      </c>
      <c r="G92" s="106">
        <f>G91*(1-Constants!$D$11)</f>
        <v>0.99002500000000004</v>
      </c>
      <c r="H92" s="100">
        <f t="shared" si="21"/>
        <v>9.9749999999999561E-3</v>
      </c>
      <c r="I92" s="122">
        <f t="shared" si="20"/>
        <v>7.5216598621752695</v>
      </c>
      <c r="J92" s="102">
        <f>I92*'Grid Power'!K19</f>
        <v>0.95772182359473279</v>
      </c>
      <c r="K92" s="114">
        <f t="shared" ref="K92:K130" si="22">F92</f>
        <v>2</v>
      </c>
      <c r="L92" s="123">
        <f>PMT(3%,K92,-NPV(3%,$J$91:J92))+Configurations!$C$15/'Analysis (A)'!K92</f>
        <v>500.50478717574435</v>
      </c>
      <c r="M92" s="153"/>
      <c r="N92" s="124">
        <f t="shared" ref="N92:N130" si="23">MIN($L$91:$L$130)</f>
        <v>46.440847933891078</v>
      </c>
    </row>
    <row r="93" spans="6:25" x14ac:dyDescent="0.3">
      <c r="F93" s="99">
        <v>3</v>
      </c>
      <c r="G93" s="106">
        <f>G92*(1-Constants!$D$11)</f>
        <v>0.98507487500000002</v>
      </c>
      <c r="H93" s="100">
        <f t="shared" si="21"/>
        <v>1.4925124999999984E-2</v>
      </c>
      <c r="I93" s="122">
        <f t="shared" si="20"/>
        <v>11.254307132877097</v>
      </c>
      <c r="J93" s="102">
        <f>I93*'Grid Power'!K20</f>
        <v>1.4982101909027954</v>
      </c>
      <c r="K93" s="114">
        <f t="shared" si="22"/>
        <v>3</v>
      </c>
      <c r="L93" s="123">
        <f>PMT(3%,K93,-NPV(3%,$J$91:J93))+Configurations!$C$15/'Analysis (A)'!K93</f>
        <v>334.16148361210867</v>
      </c>
      <c r="M93" s="153"/>
      <c r="N93" s="124">
        <f t="shared" si="23"/>
        <v>46.440847933891078</v>
      </c>
    </row>
    <row r="94" spans="6:25" x14ac:dyDescent="0.3">
      <c r="F94" s="99">
        <v>4</v>
      </c>
      <c r="G94" s="106">
        <f>G93*(1-Constants!$D$11)</f>
        <v>0.98014950062500006</v>
      </c>
      <c r="H94" s="100">
        <f t="shared" si="21"/>
        <v>1.9850499374999941E-2</v>
      </c>
      <c r="I94" s="122">
        <f t="shared" si="20"/>
        <v>14.968291167225361</v>
      </c>
      <c r="J94" s="102">
        <f>I94*'Grid Power'!K21</f>
        <v>2.0835588546789783</v>
      </c>
      <c r="K94" s="114">
        <f t="shared" si="22"/>
        <v>4</v>
      </c>
      <c r="L94" s="123">
        <f>PMT(3%,K94,-NPV(3%,$J$91:J94))+Configurations!$C$15/'Analysis (A)'!K94</f>
        <v>251.12968994182455</v>
      </c>
      <c r="M94" s="153"/>
      <c r="N94" s="124">
        <f t="shared" si="23"/>
        <v>46.440847933891078</v>
      </c>
    </row>
    <row r="95" spans="6:25" x14ac:dyDescent="0.3">
      <c r="F95" s="99">
        <v>5</v>
      </c>
      <c r="G95" s="106">
        <f>G94*(1-Constants!$D$11)</f>
        <v>0.97524875312187509</v>
      </c>
      <c r="H95" s="100">
        <f t="shared" si="21"/>
        <v>2.4751246878124911E-2</v>
      </c>
      <c r="I95" s="122">
        <f t="shared" si="20"/>
        <v>18.663705281401896</v>
      </c>
      <c r="J95" s="102">
        <f>I95*'Grid Power'!K22</f>
        <v>2.716823080726285</v>
      </c>
      <c r="K95" s="114">
        <f t="shared" si="22"/>
        <v>5</v>
      </c>
      <c r="L95" s="123">
        <f>PMT(3%,K95,-NPV(3%,$J$91:J95))+Configurations!$C$15/'Analysis (A)'!K95</f>
        <v>201.42979826681801</v>
      </c>
      <c r="M95" s="153"/>
      <c r="N95" s="124">
        <f t="shared" si="23"/>
        <v>46.440847933891078</v>
      </c>
    </row>
    <row r="96" spans="6:25" x14ac:dyDescent="0.3">
      <c r="F96" s="99">
        <v>6</v>
      </c>
      <c r="G96" s="106">
        <f>G95*(1-Constants!$D$11)</f>
        <v>0.97037250935626573</v>
      </c>
      <c r="H96" s="100">
        <f t="shared" si="21"/>
        <v>2.9627490643734267E-2</v>
      </c>
      <c r="I96" s="122">
        <f t="shared" si="20"/>
        <v>22.340642325007554</v>
      </c>
      <c r="J96" s="102">
        <f>I96*'Grid Power'!K23</f>
        <v>3.4012500629345075</v>
      </c>
      <c r="K96" s="114">
        <f t="shared" si="22"/>
        <v>6</v>
      </c>
      <c r="L96" s="123">
        <f>PMT(3%,K96,-NPV(3%,$J$91:J96))+Configurations!$C$15/'Analysis (A)'!K96</f>
        <v>168.40221198671958</v>
      </c>
      <c r="M96" s="153"/>
      <c r="N96" s="124">
        <f t="shared" si="23"/>
        <v>46.440847933891078</v>
      </c>
    </row>
    <row r="97" spans="6:22" x14ac:dyDescent="0.3">
      <c r="F97" s="99">
        <v>7</v>
      </c>
      <c r="G97" s="106">
        <f>G96*(1-Constants!$D$11)</f>
        <v>0.96552064680948435</v>
      </c>
      <c r="H97" s="100">
        <f t="shared" si="21"/>
        <v>3.4479353190515649E-2</v>
      </c>
      <c r="I97" s="122">
        <f t="shared" si="20"/>
        <v>25.999194683395238</v>
      </c>
      <c r="J97" s="102">
        <f>I97*'Grid Power'!K24</f>
        <v>4.140290411375843</v>
      </c>
      <c r="K97" s="114">
        <f t="shared" si="22"/>
        <v>7</v>
      </c>
      <c r="L97" s="123">
        <f>PMT(3%,K97,-NPV(3%,$J$91:J97))+Configurations!$C$15/'Analysis (A)'!K97</f>
        <v>144.90734607671303</v>
      </c>
      <c r="M97" s="153"/>
      <c r="N97" s="124">
        <f t="shared" si="23"/>
        <v>46.440847933891078</v>
      </c>
    </row>
    <row r="98" spans="6:22" x14ac:dyDescent="0.3">
      <c r="F98" s="99">
        <v>8</v>
      </c>
      <c r="G98" s="106">
        <f>G97*(1-Constants!$D$11)</f>
        <v>0.96069304357543694</v>
      </c>
      <c r="H98" s="100">
        <f t="shared" si="21"/>
        <v>3.9306956424563055E-2</v>
      </c>
      <c r="I98" s="122">
        <f t="shared" si="20"/>
        <v>29.639454279990932</v>
      </c>
      <c r="J98" s="102">
        <f>I98*'Grid Power'!K25</f>
        <v>4.9376103055395717</v>
      </c>
      <c r="K98" s="114">
        <f t="shared" si="22"/>
        <v>8</v>
      </c>
      <c r="L98" s="123">
        <f>PMT(3%,K98,-NPV(3%,$J$91:J98))+Configurations!$C$15/'Analysis (A)'!K98</f>
        <v>127.37562737131377</v>
      </c>
      <c r="M98" s="153"/>
      <c r="N98" s="124">
        <f t="shared" si="23"/>
        <v>46.440847933891078</v>
      </c>
    </row>
    <row r="99" spans="6:22" x14ac:dyDescent="0.3">
      <c r="F99" s="99">
        <v>9</v>
      </c>
      <c r="G99" s="106">
        <f>G98*(1-Constants!$D$11)</f>
        <v>0.95588957835755972</v>
      </c>
      <c r="H99" s="100">
        <f t="shared" si="21"/>
        <v>4.4110421642440278E-2</v>
      </c>
      <c r="I99" s="122">
        <f t="shared" si="20"/>
        <v>33.261512578603693</v>
      </c>
      <c r="J99" s="102">
        <f>I99*'Grid Power'!K26</f>
        <v>5.7971043502933242</v>
      </c>
      <c r="K99" s="114">
        <f t="shared" si="22"/>
        <v>9</v>
      </c>
      <c r="L99" s="123">
        <f>PMT(3%,K99,-NPV(3%,$J$91:J99))+Configurations!$C$15/'Analysis (A)'!K99</f>
        <v>113.82416152086913</v>
      </c>
      <c r="M99" s="153"/>
      <c r="N99" s="124">
        <f t="shared" si="23"/>
        <v>46.440847933891078</v>
      </c>
    </row>
    <row r="100" spans="6:22" x14ac:dyDescent="0.3">
      <c r="F100" s="99">
        <v>10</v>
      </c>
      <c r="G100" s="106">
        <f>G99*(1-Constants!$D$11)</f>
        <v>0.95111013046577186</v>
      </c>
      <c r="H100" s="100">
        <f t="shared" si="21"/>
        <v>4.8889869534228136E-2</v>
      </c>
      <c r="I100" s="122">
        <f t="shared" si="20"/>
        <v>36.865460585723397</v>
      </c>
      <c r="J100" s="102">
        <f>I100*'Grid Power'!K27</f>
        <v>6.7229091742437106</v>
      </c>
      <c r="K100" s="114">
        <f t="shared" si="22"/>
        <v>10</v>
      </c>
      <c r="L100" s="123">
        <f>PMT(3%,K100,-NPV(3%,$J$91:J100))+Configurations!$C$15/'Analysis (A)'!K100</f>
        <v>103.06339995423902</v>
      </c>
      <c r="M100" s="153"/>
      <c r="N100" s="124">
        <f t="shared" si="23"/>
        <v>46.440847933891078</v>
      </c>
    </row>
    <row r="101" spans="6:22" x14ac:dyDescent="0.3">
      <c r="F101" s="99">
        <v>11</v>
      </c>
      <c r="G101" s="106">
        <f>G100*(1-Constants!$D$11)</f>
        <v>0.94635457981344295</v>
      </c>
      <c r="H101" s="100">
        <f t="shared" si="21"/>
        <v>5.3645420186557047E-2</v>
      </c>
      <c r="I101" s="122">
        <f t="shared" si="20"/>
        <v>40.451388852807504</v>
      </c>
      <c r="J101" s="102">
        <f>I101*'Grid Power'!K28</f>
        <v>7.7194178123692829</v>
      </c>
      <c r="K101" s="114">
        <f t="shared" si="22"/>
        <v>11</v>
      </c>
      <c r="L101" s="123">
        <f>PMT(3%,K101,-NPV(3%,$J$91:J101))+Configurations!$C$15/'Analysis (A)'!K101</f>
        <v>94.33653412051477</v>
      </c>
      <c r="M101" s="153"/>
      <c r="N101" s="124">
        <f t="shared" si="23"/>
        <v>46.440847933891078</v>
      </c>
    </row>
    <row r="102" spans="6:22" x14ac:dyDescent="0.3">
      <c r="F102" s="99">
        <v>12</v>
      </c>
      <c r="G102" s="106">
        <f>G101*(1-Constants!$D$11)</f>
        <v>0.94162280691437572</v>
      </c>
      <c r="H102" s="100">
        <f t="shared" si="21"/>
        <v>5.8377193085624279E-2</v>
      </c>
      <c r="I102" s="122">
        <f t="shared" si="20"/>
        <v>44.019387478556162</v>
      </c>
      <c r="J102" s="102">
        <f>I102*'Grid Power'!K29</f>
        <v>8.7912949171184529</v>
      </c>
      <c r="K102" s="114">
        <f t="shared" si="22"/>
        <v>12</v>
      </c>
      <c r="L102" s="123">
        <f>PMT(3%,K102,-NPV(3%,$J$91:J102))+Configurations!$C$15/'Analysis (A)'!K102</f>
        <v>87.139192767484886</v>
      </c>
      <c r="M102" s="153"/>
      <c r="N102" s="124">
        <f t="shared" si="23"/>
        <v>46.440847933891078</v>
      </c>
    </row>
    <row r="103" spans="6:22" x14ac:dyDescent="0.3">
      <c r="F103" s="99">
        <v>13</v>
      </c>
      <c r="G103" s="106">
        <f>G102*(1-Constants!$D$11)</f>
        <v>0.93691469287980389</v>
      </c>
      <c r="H103" s="100">
        <f t="shared" si="21"/>
        <v>6.308530712019611E-2</v>
      </c>
      <c r="I103" s="122">
        <f t="shared" si="20"/>
        <v>47.569546111176031</v>
      </c>
      <c r="J103" s="102">
        <f>I103*'Grid Power'!K30</f>
        <v>9.9434928446119759</v>
      </c>
      <c r="K103" s="114">
        <f t="shared" si="22"/>
        <v>13</v>
      </c>
      <c r="L103" s="123">
        <f>PMT(3%,K103,-NPV(3%,$J$91:J103))+Configurations!$C$15/'Analysis (A)'!K103</f>
        <v>81.122356009897501</v>
      </c>
      <c r="M103" s="153"/>
      <c r="N103" s="124">
        <f t="shared" si="23"/>
        <v>46.440847933891078</v>
      </c>
      <c r="U103" s="87"/>
      <c r="V103" s="87"/>
    </row>
    <row r="104" spans="6:22" x14ac:dyDescent="0.3">
      <c r="F104" s="99">
        <v>14</v>
      </c>
      <c r="G104" s="106">
        <f>G103*(1-Constants!$D$11)</f>
        <v>0.9322301194154049</v>
      </c>
      <c r="H104" s="100">
        <f t="shared" si="21"/>
        <v>6.7769880584595099E-2</v>
      </c>
      <c r="I104" s="122">
        <f t="shared" si="20"/>
        <v>51.101953950632812</v>
      </c>
      <c r="J104" s="102">
        <f>I104*'Grid Power'!K31</f>
        <v>11.181268665170075</v>
      </c>
      <c r="K104" s="114">
        <f t="shared" si="22"/>
        <v>14</v>
      </c>
      <c r="L104" s="123">
        <f>PMT(3%,K104,-NPV(3%,$J$91:J104))+Configurations!$C$15/'Analysis (A)'!K104</f>
        <v>76.036877796051073</v>
      </c>
      <c r="M104" s="153"/>
      <c r="N104" s="124">
        <f t="shared" si="23"/>
        <v>46.440847933891078</v>
      </c>
      <c r="R104" s="85"/>
      <c r="V104" s="125"/>
    </row>
    <row r="105" spans="6:22" x14ac:dyDescent="0.3">
      <c r="F105" s="99">
        <v>15</v>
      </c>
      <c r="G105" s="106">
        <f>G104*(1-Constants!$D$11)</f>
        <v>0.92756896881832784</v>
      </c>
      <c r="H105" s="100">
        <f t="shared" si="21"/>
        <v>7.2431031181672156E-2</v>
      </c>
      <c r="I105" s="122">
        <f t="shared" si="20"/>
        <v>54.616699750892352</v>
      </c>
      <c r="J105" s="102">
        <f>I105*'Grid Power'!K32</f>
        <v>12.510202150105428</v>
      </c>
      <c r="K105" s="114">
        <f t="shared" si="22"/>
        <v>15</v>
      </c>
      <c r="L105" s="123">
        <f>PMT(3%,K105,-NPV(3%,$J$91:J105))+Configurations!$C$15/'Analysis (A)'!K105</f>
        <v>71.700199523439025</v>
      </c>
      <c r="M105" s="153"/>
      <c r="N105" s="124">
        <f t="shared" si="23"/>
        <v>46.440847933891078</v>
      </c>
      <c r="V105" s="125"/>
    </row>
    <row r="106" spans="6:22" x14ac:dyDescent="0.3">
      <c r="F106" s="99">
        <v>16</v>
      </c>
      <c r="G106" s="106">
        <f>G105*(1-Constants!$D$11)</f>
        <v>0.92293112397423616</v>
      </c>
      <c r="H106" s="100">
        <f t="shared" si="21"/>
        <v>7.7068876025763844E-2</v>
      </c>
      <c r="I106" s="122">
        <f t="shared" si="20"/>
        <v>58.113871822150607</v>
      </c>
      <c r="J106" s="102">
        <f>I106*'Grid Power'!K33</f>
        <v>13.936214789593205</v>
      </c>
      <c r="K106" s="114">
        <f t="shared" si="22"/>
        <v>16</v>
      </c>
      <c r="L106" s="123">
        <f>PMT(3%,K106,-NPV(3%,$J$91:J106))+Configurations!$C$15/'Analysis (A)'!K106</f>
        <v>67.975546178886376</v>
      </c>
      <c r="M106" s="153"/>
      <c r="N106" s="124">
        <f t="shared" si="23"/>
        <v>46.440847933891078</v>
      </c>
      <c r="V106" s="125"/>
    </row>
    <row r="107" spans="6:22" x14ac:dyDescent="0.3">
      <c r="F107" s="99">
        <v>17</v>
      </c>
      <c r="G107" s="106">
        <f>G106*(1-Constants!$D$11)</f>
        <v>0.91831646835436498</v>
      </c>
      <c r="H107" s="100">
        <f t="shared" si="21"/>
        <v>8.1683531645635021E-2</v>
      </c>
      <c r="I107" s="122">
        <f t="shared" si="20"/>
        <v>61.593558033052538</v>
      </c>
      <c r="J107" s="102">
        <f>I107*'Grid Power'!K34</f>
        <v>15.465589899455564</v>
      </c>
      <c r="K107" s="114">
        <f t="shared" si="22"/>
        <v>17</v>
      </c>
      <c r="L107" s="123">
        <f>PMT(3%,K107,-NPV(3%,$J$91:J107))+Configurations!$C$15/'Analysis (A)'!K107</f>
        <v>64.758465143188658</v>
      </c>
      <c r="M107" s="153"/>
      <c r="N107" s="124">
        <f t="shared" si="23"/>
        <v>46.440847933891078</v>
      </c>
      <c r="R107" s="85"/>
      <c r="S107" s="85"/>
      <c r="V107" s="125"/>
    </row>
    <row r="108" spans="6:22" x14ac:dyDescent="0.3">
      <c r="F108" s="99">
        <v>18</v>
      </c>
      <c r="G108" s="106">
        <f>G107*(1-Constants!$D$11)</f>
        <v>0.91372488601259316</v>
      </c>
      <c r="H108" s="100">
        <f t="shared" si="21"/>
        <v>8.6275113987406837E-2</v>
      </c>
      <c r="I108" s="122">
        <f t="shared" si="20"/>
        <v>65.055845812899946</v>
      </c>
      <c r="J108" s="102">
        <f>I108*'Grid Power'!K35</f>
        <v>17.104993877889157</v>
      </c>
      <c r="K108" s="114">
        <f t="shared" si="22"/>
        <v>18</v>
      </c>
      <c r="L108" s="123">
        <f>PMT(3%,K108,-NPV(3%,$J$91:J108))+Configurations!$C$15/'Analysis (A)'!K108</f>
        <v>61.967852182551646</v>
      </c>
      <c r="M108" s="153"/>
      <c r="N108" s="124">
        <f t="shared" si="23"/>
        <v>46.440847933891078</v>
      </c>
      <c r="R108" s="85"/>
      <c r="S108" s="85"/>
      <c r="V108" s="126"/>
    </row>
    <row r="109" spans="6:22" x14ac:dyDescent="0.3">
      <c r="F109" s="99">
        <v>19</v>
      </c>
      <c r="G109" s="106">
        <f>G108*(1-Constants!$D$11)</f>
        <v>0.90915626158253016</v>
      </c>
      <c r="H109" s="100">
        <f t="shared" si="21"/>
        <v>9.0843738417469844E-2</v>
      </c>
      <c r="I109" s="122">
        <f t="shared" si="20"/>
        <v>68.500822153848162</v>
      </c>
      <c r="J109" s="102">
        <f>I109*'Grid Power'!K36</f>
        <v>18.861498676529212</v>
      </c>
      <c r="K109" s="114">
        <f t="shared" si="22"/>
        <v>19</v>
      </c>
      <c r="L109" s="123">
        <f>PMT(3%,K109,-NPV(3%,$J$91:J109))+Configurations!$C$15/'Analysis (A)'!K109</f>
        <v>59.539811455599462</v>
      </c>
      <c r="M109" s="153"/>
      <c r="N109" s="124">
        <f t="shared" si="23"/>
        <v>46.440847933891078</v>
      </c>
      <c r="R109" s="85"/>
      <c r="S109" s="85"/>
    </row>
    <row r="110" spans="6:22" x14ac:dyDescent="0.3">
      <c r="F110" s="99">
        <v>20</v>
      </c>
      <c r="G110" s="106">
        <f>G109*(1-Constants!$D$11)</f>
        <v>0.90461048027461755</v>
      </c>
      <c r="H110" s="100">
        <f t="shared" si="21"/>
        <v>9.5389519725382454E-2</v>
      </c>
      <c r="I110" s="122">
        <f t="shared" si="20"/>
        <v>71.928573613091572</v>
      </c>
      <c r="J110" s="102">
        <f>I110*'Grid Power'!K37</f>
        <v>20.742605553792028</v>
      </c>
      <c r="K110" s="114">
        <f t="shared" si="22"/>
        <v>20</v>
      </c>
      <c r="L110" s="123">
        <f>PMT(3%,K110,-NPV(3%,$J$91:J110))+Configurations!$C$15/'Analysis (A)'!K110</f>
        <v>57.423357633278464</v>
      </c>
      <c r="M110" s="153"/>
      <c r="N110" s="124">
        <f t="shared" si="23"/>
        <v>46.440847933891078</v>
      </c>
      <c r="R110" s="85"/>
      <c r="S110" s="85"/>
    </row>
    <row r="111" spans="6:22" x14ac:dyDescent="0.3">
      <c r="F111" s="99">
        <v>21</v>
      </c>
      <c r="G111" s="106">
        <f>G110*(1-Constants!$D$11)</f>
        <v>0.90008742787324447</v>
      </c>
      <c r="H111" s="100">
        <f t="shared" si="21"/>
        <v>9.9912572126755528E-2</v>
      </c>
      <c r="I111" s="122">
        <f t="shared" si="20"/>
        <v>75.339186315038788</v>
      </c>
      <c r="J111" s="102">
        <f>I111*'Grid Power'!K38</f>
        <v>22.756270182179211</v>
      </c>
      <c r="K111" s="114">
        <f t="shared" si="22"/>
        <v>21</v>
      </c>
      <c r="L111" s="123">
        <f>PMT(3%,K111,-NPV(3%,$J$91:J111))+Configurations!$C$15/'Analysis (A)'!K111</f>
        <v>55.577346096734843</v>
      </c>
      <c r="M111" s="153"/>
      <c r="N111" s="124">
        <f t="shared" si="23"/>
        <v>46.440847933891078</v>
      </c>
      <c r="R111" s="85"/>
      <c r="S111" s="85"/>
      <c r="U111" s="88"/>
      <c r="V111" s="127"/>
    </row>
    <row r="112" spans="6:22" x14ac:dyDescent="0.3">
      <c r="F112" s="99">
        <v>22</v>
      </c>
      <c r="G112" s="106">
        <f>G111*(1-Constants!$D$11)</f>
        <v>0.89558699073387826</v>
      </c>
      <c r="H112" s="100">
        <f t="shared" si="21"/>
        <v>0.10441300926612174</v>
      </c>
      <c r="I112" s="122">
        <f t="shared" si="20"/>
        <v>78.732745953476268</v>
      </c>
      <c r="J112" s="102">
        <f>I112*'Grid Power'!K39</f>
        <v>24.910929185171195</v>
      </c>
      <c r="K112" s="114">
        <f t="shared" si="22"/>
        <v>22</v>
      </c>
      <c r="L112" s="123">
        <f>PMT(3%,K112,-NPV(3%,$J$91:J112))+Configurations!$C$15/'Analysis (A)'!K112</f>
        <v>53.968240463733821</v>
      </c>
      <c r="M112" s="153"/>
      <c r="N112" s="124">
        <f t="shared" si="23"/>
        <v>46.440847933891078</v>
      </c>
      <c r="R112" s="85"/>
      <c r="S112" s="85"/>
    </row>
    <row r="113" spans="6:19" x14ac:dyDescent="0.3">
      <c r="F113" s="99">
        <v>23</v>
      </c>
      <c r="G113" s="106">
        <f>G112*(1-Constants!$D$11)</f>
        <v>0.89110905578020883</v>
      </c>
      <c r="H113" s="100">
        <f t="shared" si="21"/>
        <v>0.10889094421979117</v>
      </c>
      <c r="I113" s="122">
        <f t="shared" si="20"/>
        <v>82.109337793721608</v>
      </c>
      <c r="J113" s="102">
        <f>I113*'Grid Power'!K40</f>
        <v>27.215528183497526</v>
      </c>
      <c r="K113" s="114">
        <f t="shared" si="22"/>
        <v>23</v>
      </c>
      <c r="L113" s="123">
        <f>PMT(3%,K113,-NPV(3%,$J$91:J113))+Configurations!$C$15/'Analysis (A)'!K113</f>
        <v>52.568462607097587</v>
      </c>
      <c r="M113" s="153"/>
      <c r="N113" s="124">
        <f t="shared" si="23"/>
        <v>46.440847933891078</v>
      </c>
      <c r="R113" s="85"/>
      <c r="S113" s="85"/>
    </row>
    <row r="114" spans="6:19" x14ac:dyDescent="0.3">
      <c r="F114" s="99">
        <v>24</v>
      </c>
      <c r="G114" s="106">
        <f>G113*(1-Constants!$D$11)</f>
        <v>0.88665351050130781</v>
      </c>
      <c r="H114" s="100">
        <f t="shared" si="21"/>
        <v>0.11334648949869219</v>
      </c>
      <c r="I114" s="122">
        <f t="shared" si="20"/>
        <v>85.469046674765664</v>
      </c>
      <c r="J114" s="102">
        <f>I114*'Grid Power'!K41</f>
        <v>29.679551434955954</v>
      </c>
      <c r="K114" s="114">
        <f t="shared" si="22"/>
        <v>24</v>
      </c>
      <c r="L114" s="123">
        <f>PMT(3%,K114,-NPV(3%,$J$91:J114))+Configurations!$C$15/'Analysis (A)'!K114</f>
        <v>51.355155274208769</v>
      </c>
      <c r="M114" s="153"/>
      <c r="N114" s="124">
        <f t="shared" si="23"/>
        <v>46.440847933891078</v>
      </c>
      <c r="R114" s="85"/>
      <c r="S114" s="85"/>
    </row>
    <row r="115" spans="6:19" x14ac:dyDescent="0.3">
      <c r="F115" s="99">
        <v>25</v>
      </c>
      <c r="G115" s="106">
        <f>G114*(1-Constants!$D$11)</f>
        <v>0.8822202429488013</v>
      </c>
      <c r="H115" s="100">
        <f t="shared" si="21"/>
        <v>0.1177797570511987</v>
      </c>
      <c r="I115" s="122">
        <f t="shared" si="20"/>
        <v>88.811957011404488</v>
      </c>
      <c r="J115" s="102">
        <f>I115*'Grid Power'!K42</f>
        <v>32.313053156576167</v>
      </c>
      <c r="K115" s="114">
        <f t="shared" si="22"/>
        <v>25</v>
      </c>
      <c r="L115" s="123">
        <f>PMT(3%,K115,-NPV(3%,$J$91:J115))+Configurations!$C$15/'Analysis (A)'!K115</f>
        <v>50.30924178179211</v>
      </c>
      <c r="M115" s="153"/>
      <c r="N115" s="124">
        <f t="shared" si="23"/>
        <v>46.440847933891078</v>
      </c>
      <c r="R115" s="85"/>
      <c r="S115" s="85"/>
    </row>
    <row r="116" spans="6:19" x14ac:dyDescent="0.3">
      <c r="F116" s="99">
        <v>26</v>
      </c>
      <c r="G116" s="106">
        <f>G115*(1-Constants!$D$11)</f>
        <v>0.87780914173405733</v>
      </c>
      <c r="H116" s="100">
        <f t="shared" si="21"/>
        <v>0.12219085826594267</v>
      </c>
      <c r="I116" s="122">
        <f t="shared" si="20"/>
        <v>92.138152796360117</v>
      </c>
      <c r="J116" s="102">
        <f>I116*'Grid Power'!K43</f>
        <v>35.126690622797874</v>
      </c>
      <c r="K116" s="114">
        <f t="shared" si="22"/>
        <v>26</v>
      </c>
      <c r="L116" s="123">
        <f>PMT(3%,K116,-NPV(3%,$J$91:J116))+Configurations!$C$15/'Analysis (A)'!K116</f>
        <v>49.414702806643788</v>
      </c>
      <c r="M116" s="153"/>
      <c r="N116" s="124">
        <f t="shared" si="23"/>
        <v>46.440847933891078</v>
      </c>
      <c r="R116" s="85"/>
      <c r="S116" s="85"/>
    </row>
    <row r="117" spans="6:19" x14ac:dyDescent="0.3">
      <c r="F117" s="99">
        <v>27</v>
      </c>
      <c r="G117" s="106">
        <f>G116*(1-Constants!$D$11)</f>
        <v>0.87342009602538706</v>
      </c>
      <c r="H117" s="100">
        <f t="shared" si="21"/>
        <v>0.12657990397461294</v>
      </c>
      <c r="I117" s="122">
        <f t="shared" si="20"/>
        <v>95.447717602390995</v>
      </c>
      <c r="J117" s="102">
        <f>I117*'Grid Power'!K44</f>
        <v>38.131759138471871</v>
      </c>
      <c r="K117" s="114">
        <f t="shared" si="22"/>
        <v>27</v>
      </c>
      <c r="L117" s="123">
        <f>PMT(3%,K117,-NPV(3%,$J$91:J117))+Configurations!$C$15/'Analysis (A)'!K117</f>
        <v>48.65801399061661</v>
      </c>
      <c r="M117" s="153"/>
      <c r="N117" s="124">
        <f t="shared" si="23"/>
        <v>46.440847933891078</v>
      </c>
    </row>
    <row r="118" spans="6:19" x14ac:dyDescent="0.3">
      <c r="F118" s="99">
        <v>28</v>
      </c>
      <c r="G118" s="106">
        <f>G117*(1-Constants!$D$11)</f>
        <v>0.86905299554526017</v>
      </c>
      <c r="H118" s="100">
        <f t="shared" si="21"/>
        <v>0.13094700445473983</v>
      </c>
      <c r="I118" s="122">
        <f t="shared" si="20"/>
        <v>98.740734584391689</v>
      </c>
      <c r="J118" s="102">
        <f>I118*'Grid Power'!K45</f>
        <v>41.340228990910099</v>
      </c>
      <c r="K118" s="114">
        <f t="shared" si="22"/>
        <v>28</v>
      </c>
      <c r="L118" s="123">
        <f>PMT(3%,K118,-NPV(3%,$J$91:J118))+Configurations!$C$15/'Analysis (A)'!K118</f>
        <v>48.027704158711913</v>
      </c>
      <c r="M118" s="153"/>
      <c r="N118" s="124">
        <f t="shared" si="23"/>
        <v>46.440847933891078</v>
      </c>
    </row>
    <row r="119" spans="6:19" x14ac:dyDescent="0.3">
      <c r="F119" s="99">
        <v>29</v>
      </c>
      <c r="G119" s="106">
        <f>G118*(1-Constants!$D$11)</f>
        <v>0.86470773056753381</v>
      </c>
      <c r="H119" s="100">
        <f t="shared" si="21"/>
        <v>0.13529226943246619</v>
      </c>
      <c r="I119" s="122">
        <f t="shared" si="20"/>
        <v>102.01728648148246</v>
      </c>
      <c r="J119" s="102">
        <f>I119*'Grid Power'!K46</f>
        <v>44.764784490921521</v>
      </c>
      <c r="K119" s="114">
        <f t="shared" si="22"/>
        <v>29</v>
      </c>
      <c r="L119" s="123">
        <f>PMT(3%,K119,-NPV(3%,$J$91:J119))+Configurations!$C$15/'Analysis (A)'!K119</f>
        <v>47.514005039159528</v>
      </c>
      <c r="M119" s="153"/>
      <c r="N119" s="124">
        <f t="shared" si="23"/>
        <v>46.440847933891078</v>
      </c>
    </row>
    <row r="120" spans="6:19" x14ac:dyDescent="0.3">
      <c r="F120" s="99">
        <v>30</v>
      </c>
      <c r="G120" s="106">
        <f>G119*(1-Constants!$D$11)</f>
        <v>0.86038419191469617</v>
      </c>
      <c r="H120" s="100">
        <f t="shared" si="21"/>
        <v>0.13961580808530383</v>
      </c>
      <c r="I120" s="122">
        <f t="shared" si="20"/>
        <v>105.2774556190877</v>
      </c>
      <c r="J120" s="102">
        <f>I120*'Grid Power'!K47</f>
        <v>48.418865218790984</v>
      </c>
      <c r="K120" s="114">
        <f t="shared" si="22"/>
        <v>30</v>
      </c>
      <c r="L120" s="123">
        <f>PMT(3%,K120,-NPV(3%,$J$91:J120))+Configurations!$C$15/'Analysis (A)'!K120</f>
        <v>47.108571137390129</v>
      </c>
      <c r="M120" s="153"/>
      <c r="N120" s="124">
        <f t="shared" si="23"/>
        <v>46.440847933891078</v>
      </c>
    </row>
    <row r="121" spans="6:19" x14ac:dyDescent="0.3">
      <c r="F121" s="99">
        <v>31</v>
      </c>
      <c r="G121" s="106">
        <f>G120*(1-Constants!$D$11)</f>
        <v>0.85608227095512268</v>
      </c>
      <c r="H121" s="100">
        <f t="shared" si="21"/>
        <v>0.14391772904487732</v>
      </c>
      <c r="I121" s="122">
        <f t="shared" si="20"/>
        <v>108.52132391100496</v>
      </c>
      <c r="J121" s="102">
        <f>I121*'Grid Power'!K48</f>
        <v>52.31670959750501</v>
      </c>
      <c r="K121" s="114">
        <f t="shared" si="22"/>
        <v>31</v>
      </c>
      <c r="L121" s="123">
        <f>PMT(3%,K121,-NPV(3%,$J$91:J121))+Configurations!$C$15/'Analysis (A)'!K121</f>
        <v>46.804253925048073</v>
      </c>
      <c r="M121" s="153"/>
      <c r="N121" s="124">
        <f t="shared" si="23"/>
        <v>46.440847933891078</v>
      </c>
    </row>
    <row r="122" spans="6:19" x14ac:dyDescent="0.3">
      <c r="F122" s="99">
        <v>32</v>
      </c>
      <c r="G122" s="106">
        <f>G121*(1-Constants!$D$11)</f>
        <v>0.85180185960034704</v>
      </c>
      <c r="H122" s="100">
        <f t="shared" si="21"/>
        <v>0.14819814039965296</v>
      </c>
      <c r="I122" s="122">
        <f t="shared" si="20"/>
        <v>111.74897286146263</v>
      </c>
      <c r="J122" s="102">
        <f>I122*'Grid Power'!K49</f>
        <v>56.473400922217358</v>
      </c>
      <c r="K122" s="114">
        <f t="shared" si="22"/>
        <v>32</v>
      </c>
      <c r="L122" s="123">
        <f>PMT(3%,K122,-NPV(3%,$J$91:J122))+Configurations!$C$15/'Analysis (A)'!K122</f>
        <v>46.594918464962788</v>
      </c>
      <c r="M122" s="153"/>
      <c r="N122" s="124">
        <f t="shared" si="23"/>
        <v>46.440847933891078</v>
      </c>
    </row>
    <row r="123" spans="6:19" x14ac:dyDescent="0.3">
      <c r="F123" s="99">
        <v>33</v>
      </c>
      <c r="G123" s="106">
        <f>G122*(1-Constants!$D$11)</f>
        <v>0.84754285030234533</v>
      </c>
      <c r="H123" s="100">
        <f t="shared" si="21"/>
        <v>0.15245714969765467</v>
      </c>
      <c r="I123" s="122">
        <f t="shared" si="20"/>
        <v>114.96048356716798</v>
      </c>
      <c r="J123" s="102">
        <f>I123*'Grid Power'!K50</f>
        <v>60.904915982000126</v>
      </c>
      <c r="K123" s="114">
        <f t="shared" si="22"/>
        <v>33</v>
      </c>
      <c r="L123" s="123">
        <f>PMT(3%,K123,-NPV(3%,$J$91:J123))+Configurations!$C$15/'Analysis (A)'!K123</f>
        <v>46.475293472831282</v>
      </c>
      <c r="M123" s="153"/>
      <c r="N123" s="124">
        <f t="shared" si="23"/>
        <v>46.440847933891078</v>
      </c>
    </row>
    <row r="124" spans="6:19" x14ac:dyDescent="0.3">
      <c r="F124" s="99">
        <v>34</v>
      </c>
      <c r="G124" s="106">
        <f>G123*(1-Constants!$D$11)</f>
        <v>0.84330513605083357</v>
      </c>
      <c r="H124" s="100">
        <f t="shared" si="21"/>
        <v>0.15669486394916643</v>
      </c>
      <c r="I124" s="122">
        <f t="shared" si="20"/>
        <v>118.15593671934485</v>
      </c>
      <c r="J124" s="102">
        <f>I124*'Grid Power'!K51</f>
        <v>65.628176417358389</v>
      </c>
      <c r="K124" s="114">
        <f t="shared" si="22"/>
        <v>34</v>
      </c>
      <c r="L124" s="123">
        <f>PMT(3%,K124,-NPV(3%,$J$91:J124))+Configurations!$C$15/'Analysis (A)'!K124</f>
        <v>46.440847933891078</v>
      </c>
      <c r="M124" s="153"/>
      <c r="N124" s="124">
        <f t="shared" si="23"/>
        <v>46.440847933891078</v>
      </c>
    </row>
    <row r="125" spans="6:19" x14ac:dyDescent="0.3">
      <c r="F125" s="99">
        <v>35</v>
      </c>
      <c r="G125" s="106">
        <f>G124*(1-Constants!$D$11)</f>
        <v>0.83908861037057936</v>
      </c>
      <c r="H125" s="100">
        <f t="shared" si="21"/>
        <v>0.16091138962942064</v>
      </c>
      <c r="I125" s="122">
        <f t="shared" si="20"/>
        <v>121.33541260576085</v>
      </c>
      <c r="J125" s="102">
        <f>I125*'Grid Power'!K52</f>
        <v>70.661102964821282</v>
      </c>
      <c r="K125" s="114">
        <f t="shared" si="22"/>
        <v>35</v>
      </c>
      <c r="L125" s="123">
        <f>PMT(3%,K125,-NPV(3%,$J$91:J125))+Configurations!$C$15/'Analysis (A)'!K125</f>
        <v>46.487688965883919</v>
      </c>
      <c r="M125" s="153"/>
      <c r="N125" s="124">
        <f t="shared" si="23"/>
        <v>46.440847933891078</v>
      </c>
    </row>
    <row r="126" spans="6:19" x14ac:dyDescent="0.3">
      <c r="F126" s="99">
        <v>36</v>
      </c>
      <c r="G126" s="106">
        <f>G125*(1-Constants!$D$11)</f>
        <v>0.83489316731872643</v>
      </c>
      <c r="H126" s="100">
        <f t="shared" si="21"/>
        <v>0.16510683268127357</v>
      </c>
      <c r="I126" s="122">
        <f t="shared" si="20"/>
        <v>124.49899111274475</v>
      </c>
      <c r="J126" s="102">
        <f>I126*'Grid Power'!K53</f>
        <v>76.022672748181179</v>
      </c>
      <c r="K126" s="114">
        <f t="shared" si="22"/>
        <v>36</v>
      </c>
      <c r="L126" s="123">
        <f>PMT(3%,K126,-NPV(3%,$J$91:J126))+Configurations!$C$15/'Analysis (A)'!K126</f>
        <v>46.612476799377944</v>
      </c>
      <c r="M126" s="153"/>
      <c r="N126" s="124">
        <f t="shared" si="23"/>
        <v>46.440847933891078</v>
      </c>
    </row>
    <row r="127" spans="6:19" x14ac:dyDescent="0.3">
      <c r="F127" s="99">
        <v>37</v>
      </c>
      <c r="G127" s="106">
        <f>G126*(1-Constants!$D$11)</f>
        <v>0.83071870148213278</v>
      </c>
      <c r="H127" s="100">
        <f t="shared" si="21"/>
        <v>0.16928129851786722</v>
      </c>
      <c r="I127" s="122">
        <f t="shared" si="20"/>
        <v>127.64675172719372</v>
      </c>
      <c r="J127" s="102">
        <f>I127*'Grid Power'!K54</f>
        <v>81.732979784655868</v>
      </c>
      <c r="K127" s="114">
        <f t="shared" si="22"/>
        <v>37</v>
      </c>
      <c r="L127" s="123">
        <f>PMT(3%,K127,-NPV(3%,$J$91:J127))+Configurations!$C$15/'Analysis (A)'!K127</f>
        <v>46.812353639314523</v>
      </c>
      <c r="M127" s="153"/>
      <c r="N127" s="124">
        <f t="shared" si="23"/>
        <v>46.440847933891078</v>
      </c>
    </row>
    <row r="128" spans="6:19" x14ac:dyDescent="0.3">
      <c r="F128" s="99">
        <v>38</v>
      </c>
      <c r="G128" s="106">
        <f>G127*(1-Constants!$D$11)</f>
        <v>0.82656510797472216</v>
      </c>
      <c r="H128" s="100">
        <f t="shared" si="21"/>
        <v>0.17343489202527784</v>
      </c>
      <c r="I128" s="122">
        <f t="shared" si="20"/>
        <v>130.77877353857039</v>
      </c>
      <c r="J128" s="102">
        <f>I128*'Grid Power'!K55</f>
        <v>87.813298883423286</v>
      </c>
      <c r="K128" s="114">
        <f t="shared" si="22"/>
        <v>38</v>
      </c>
      <c r="L128" s="123">
        <f>PMT(3%,K128,-NPV(3%,$J$91:J128))+Configurations!$C$15/'Analysis (A)'!K128</f>
        <v>47.084883852992888</v>
      </c>
      <c r="M128" s="153"/>
      <c r="N128" s="124">
        <f t="shared" si="23"/>
        <v>46.440847933891078</v>
      </c>
    </row>
    <row r="129" spans="6:14" x14ac:dyDescent="0.3">
      <c r="F129" s="99">
        <v>39</v>
      </c>
      <c r="G129" s="106">
        <f>G128*(1-Constants!$D$11)</f>
        <v>0.82243228243484856</v>
      </c>
      <c r="H129" s="100">
        <f t="shared" si="21"/>
        <v>0.17756771756515144</v>
      </c>
      <c r="I129" s="122">
        <f t="shared" si="20"/>
        <v>133.89513524089023</v>
      </c>
      <c r="J129" s="102">
        <f>I129*'Grid Power'!K56</f>
        <v>94.286153123646756</v>
      </c>
      <c r="K129" s="114">
        <f t="shared" si="22"/>
        <v>39</v>
      </c>
      <c r="L129" s="123">
        <f>PMT(3%,K129,-NPV(3%,$J$91:J129))+Configurations!$C$15/'Analysis (A)'!K129</f>
        <v>47.428003453821077</v>
      </c>
      <c r="M129" s="153"/>
      <c r="N129" s="124">
        <f t="shared" si="23"/>
        <v>46.440847933891078</v>
      </c>
    </row>
    <row r="130" spans="6:14" x14ac:dyDescent="0.3">
      <c r="F130" s="107">
        <v>40</v>
      </c>
      <c r="G130" s="108">
        <f>G129*(1-Constants!$D$11)</f>
        <v>0.81832012102267426</v>
      </c>
      <c r="H130" s="128">
        <f t="shared" si="21"/>
        <v>0.18167987897732574</v>
      </c>
      <c r="I130" s="129">
        <f t="shared" si="20"/>
        <v>136.99591513469849</v>
      </c>
      <c r="J130" s="110">
        <f>I130*'Grid Power'!K57</f>
        <v>101.17538510929921</v>
      </c>
      <c r="K130" s="113">
        <f t="shared" si="22"/>
        <v>40</v>
      </c>
      <c r="L130" s="130">
        <f>PMT(3%,K130,-NPV(3%,$J$91:J130))+Configurations!$C$15/'Analysis (A)'!K130</f>
        <v>47.839977256351432</v>
      </c>
      <c r="M130" s="153"/>
      <c r="N130" s="124">
        <f t="shared" si="23"/>
        <v>46.440847933891078</v>
      </c>
    </row>
  </sheetData>
  <mergeCells count="33">
    <mergeCell ref="C4:D4"/>
    <mergeCell ref="B3:D3"/>
    <mergeCell ref="G5:G6"/>
    <mergeCell ref="F86:L86"/>
    <mergeCell ref="F88:F89"/>
    <mergeCell ref="G88:G89"/>
    <mergeCell ref="H88:H89"/>
    <mergeCell ref="F87:J87"/>
    <mergeCell ref="K87:L87"/>
    <mergeCell ref="K88:K89"/>
    <mergeCell ref="G42:G43"/>
    <mergeCell ref="F41:F43"/>
    <mergeCell ref="G41:I41"/>
    <mergeCell ref="F3:Y3"/>
    <mergeCell ref="F14:Y14"/>
    <mergeCell ref="N4:P4"/>
    <mergeCell ref="X41:Y41"/>
    <mergeCell ref="X15:Y15"/>
    <mergeCell ref="Q4:W4"/>
    <mergeCell ref="X4:Y4"/>
    <mergeCell ref="Q41:W41"/>
    <mergeCell ref="Q15:W15"/>
    <mergeCell ref="F40:Y40"/>
    <mergeCell ref="N41:P41"/>
    <mergeCell ref="N15:P15"/>
    <mergeCell ref="G4:I4"/>
    <mergeCell ref="F4:F6"/>
    <mergeCell ref="J4:M4"/>
    <mergeCell ref="J15:M15"/>
    <mergeCell ref="J41:M41"/>
    <mergeCell ref="F15:F17"/>
    <mergeCell ref="G15:I15"/>
    <mergeCell ref="G16:G17"/>
  </mergeCells>
  <pageMargins left="0.7" right="0.7" top="0.75" bottom="0.75" header="0.3" footer="0.3"/>
  <pageSetup scale="28" orientation="portrait" r:id="rId1"/>
  <rowBreaks count="1" manualBreakCount="1">
    <brk id="39" max="16383" man="1"/>
  </rowBreaks>
  <colBreaks count="1" manualBreakCount="1">
    <brk id="4" max="84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5594-D1BF-D44E-93B1-0FE20E755081}">
  <sheetPr>
    <tabColor rgb="FF00B050"/>
  </sheetPr>
  <dimension ref="B2:AI130"/>
  <sheetViews>
    <sheetView showGridLines="0" topLeftCell="A19" zoomScale="60" zoomScaleNormal="60" workbookViewId="0">
      <selection activeCell="AI41" activeCellId="1" sqref="AI42 AI41"/>
    </sheetView>
  </sheetViews>
  <sheetFormatPr defaultColWidth="10.85546875" defaultRowHeight="16.5" x14ac:dyDescent="0.3"/>
  <cols>
    <col min="1" max="1" width="10.85546875" style="162"/>
    <col min="2" max="2" width="15.85546875" style="162" customWidth="1"/>
    <col min="3" max="3" width="13.5703125" style="162" customWidth="1"/>
    <col min="4" max="4" width="14.7109375" style="162" customWidth="1"/>
    <col min="5" max="5" width="7.7109375" style="162" bestFit="1" customWidth="1"/>
    <col min="6" max="6" width="9.7109375" style="162" bestFit="1" customWidth="1"/>
    <col min="7" max="7" width="5.28515625" style="162" customWidth="1"/>
    <col min="8" max="8" width="11" style="162" bestFit="1" customWidth="1"/>
    <col min="9" max="9" width="11" style="162" customWidth="1"/>
    <col min="10" max="10" width="7.28515625" style="162" customWidth="1"/>
    <col min="11" max="11" width="11.85546875" style="162" customWidth="1"/>
    <col min="12" max="12" width="14.42578125" style="162" customWidth="1"/>
    <col min="13" max="13" width="15.5703125" style="162" bestFit="1" customWidth="1"/>
    <col min="14" max="14" width="17.28515625" style="162" bestFit="1" customWidth="1"/>
    <col min="15" max="15" width="16.85546875" style="162" bestFit="1" customWidth="1"/>
    <col min="16" max="16" width="11.5703125" style="162" customWidth="1"/>
    <col min="17" max="17" width="13.140625" style="162" customWidth="1"/>
    <col min="18" max="18" width="14.5703125" style="162" customWidth="1"/>
    <col min="19" max="19" width="22" style="162" bestFit="1" customWidth="1"/>
    <col min="20" max="22" width="12.5703125" style="162" customWidth="1"/>
    <col min="23" max="24" width="10.7109375" style="162" customWidth="1"/>
    <col min="25" max="25" width="12.5703125" style="162" customWidth="1"/>
    <col min="26" max="26" width="12.85546875" style="162" customWidth="1"/>
    <col min="27" max="27" width="11" style="162" customWidth="1"/>
    <col min="28" max="28" width="12.5703125" style="162" customWidth="1"/>
    <col min="29" max="29" width="21.28515625" style="162" bestFit="1" customWidth="1"/>
    <col min="30" max="30" width="11" style="162" customWidth="1"/>
    <col min="31" max="31" width="14.5703125" style="162" customWidth="1"/>
    <col min="32" max="32" width="15.85546875" style="162" bestFit="1" customWidth="1"/>
    <col min="33" max="33" width="4.42578125" style="162" customWidth="1"/>
    <col min="34" max="34" width="12.42578125" style="162" bestFit="1" customWidth="1"/>
    <col min="35" max="35" width="13.42578125" style="162" bestFit="1" customWidth="1"/>
    <col min="36" max="16384" width="10.85546875" style="162"/>
  </cols>
  <sheetData>
    <row r="2" spans="2:35" ht="129" x14ac:dyDescent="2.2000000000000002">
      <c r="B2" s="161" t="s">
        <v>226</v>
      </c>
    </row>
    <row r="3" spans="2:35" x14ac:dyDescent="0.3">
      <c r="B3" s="290" t="s">
        <v>149</v>
      </c>
      <c r="C3" s="290"/>
      <c r="D3" s="290"/>
      <c r="E3" s="290"/>
      <c r="F3" s="290"/>
      <c r="H3" s="290" t="s">
        <v>199</v>
      </c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</row>
    <row r="4" spans="2:35" x14ac:dyDescent="0.3">
      <c r="B4" s="163" t="s">
        <v>94</v>
      </c>
      <c r="C4" s="164" t="s">
        <v>150</v>
      </c>
      <c r="D4" s="165" t="s">
        <v>215</v>
      </c>
      <c r="E4" s="163" t="s">
        <v>168</v>
      </c>
      <c r="F4" s="165" t="s">
        <v>241</v>
      </c>
      <c r="H4" s="290" t="s">
        <v>56</v>
      </c>
      <c r="I4" s="284" t="s">
        <v>116</v>
      </c>
      <c r="J4" s="285"/>
      <c r="K4" s="286"/>
      <c r="L4" s="284" t="s">
        <v>6</v>
      </c>
      <c r="M4" s="285"/>
      <c r="N4" s="285"/>
      <c r="O4" s="286"/>
      <c r="P4" s="285"/>
      <c r="Q4" s="286"/>
      <c r="R4" s="284" t="s">
        <v>172</v>
      </c>
      <c r="S4" s="286"/>
      <c r="T4" s="284" t="s">
        <v>265</v>
      </c>
      <c r="U4" s="285"/>
      <c r="V4" s="286"/>
      <c r="W4" s="284" t="s">
        <v>266</v>
      </c>
      <c r="X4" s="285"/>
      <c r="Y4" s="286"/>
      <c r="Z4" s="284" t="s">
        <v>267</v>
      </c>
      <c r="AA4" s="285"/>
      <c r="AB4" s="286"/>
      <c r="AC4" s="164"/>
      <c r="AD4" s="164"/>
      <c r="AE4" s="290" t="s">
        <v>195</v>
      </c>
      <c r="AF4" s="290"/>
      <c r="AH4" s="166" t="s">
        <v>192</v>
      </c>
      <c r="AI4" s="167" t="e">
        <f>IRR(AE7:AE12)</f>
        <v>#NUM!</v>
      </c>
    </row>
    <row r="5" spans="2:35" x14ac:dyDescent="0.3">
      <c r="B5" s="168"/>
      <c r="C5" s="163" t="s">
        <v>117</v>
      </c>
      <c r="D5" s="163" t="s">
        <v>117</v>
      </c>
      <c r="E5" s="163" t="s">
        <v>117</v>
      </c>
      <c r="F5" s="163" t="s">
        <v>117</v>
      </c>
      <c r="G5" s="169"/>
      <c r="H5" s="290"/>
      <c r="I5" s="288" t="s">
        <v>152</v>
      </c>
      <c r="J5" s="170" t="s">
        <v>168</v>
      </c>
      <c r="K5" s="170" t="s">
        <v>241</v>
      </c>
      <c r="L5" s="170" t="s">
        <v>160</v>
      </c>
      <c r="M5" s="170" t="s">
        <v>139</v>
      </c>
      <c r="N5" s="170" t="s">
        <v>162</v>
      </c>
      <c r="O5" s="170" t="s">
        <v>224</v>
      </c>
      <c r="P5" s="170" t="s">
        <v>163</v>
      </c>
      <c r="Q5" s="170" t="s">
        <v>146</v>
      </c>
      <c r="R5" s="170" t="s">
        <v>172</v>
      </c>
      <c r="S5" s="170" t="s">
        <v>175</v>
      </c>
      <c r="T5" s="170" t="str">
        <f>"+CCA"</f>
        <v>+CCA</v>
      </c>
      <c r="U5" s="170" t="s">
        <v>8</v>
      </c>
      <c r="V5" s="170" t="s">
        <v>229</v>
      </c>
      <c r="W5" s="170" t="str">
        <f>"+CCA"</f>
        <v>+CCA</v>
      </c>
      <c r="X5" s="170" t="s">
        <v>8</v>
      </c>
      <c r="Y5" s="170" t="s">
        <v>229</v>
      </c>
      <c r="Z5" s="170" t="str">
        <f>"+CCA"</f>
        <v>+CCA</v>
      </c>
      <c r="AA5" s="170" t="s">
        <v>8</v>
      </c>
      <c r="AB5" s="170" t="s">
        <v>229</v>
      </c>
      <c r="AC5" s="170" t="s">
        <v>170</v>
      </c>
      <c r="AD5" s="170" t="s">
        <v>173</v>
      </c>
      <c r="AE5" s="170" t="s">
        <v>194</v>
      </c>
      <c r="AF5" s="170" t="s">
        <v>194</v>
      </c>
      <c r="AH5" s="166" t="s">
        <v>193</v>
      </c>
      <c r="AI5" s="171" t="e">
        <f>IRR(AF7:AF12)</f>
        <v>#NUM!</v>
      </c>
    </row>
    <row r="6" spans="2:35" x14ac:dyDescent="0.3">
      <c r="B6" s="172">
        <v>1</v>
      </c>
      <c r="C6" s="173">
        <f>Weather!I8*Configurations!$C$31*(1-Constants!$N$9)</f>
        <v>171.91800965407796</v>
      </c>
      <c r="D6" s="173">
        <f>Consumption!D10</f>
        <v>751.57009042842367</v>
      </c>
      <c r="E6" s="173">
        <f>IF(D6-C6&gt;0, D6-C6,0)</f>
        <v>579.65208077434568</v>
      </c>
      <c r="F6" s="174">
        <f>IF(C6&gt;D6,C6-D6,0)</f>
        <v>0</v>
      </c>
      <c r="G6" s="169"/>
      <c r="H6" s="293"/>
      <c r="I6" s="289"/>
      <c r="J6" s="175" t="s">
        <v>62</v>
      </c>
      <c r="K6" s="175" t="s">
        <v>62</v>
      </c>
      <c r="L6" s="175" t="s">
        <v>59</v>
      </c>
      <c r="M6" s="175" t="s">
        <v>59</v>
      </c>
      <c r="N6" s="175" t="s">
        <v>59</v>
      </c>
      <c r="O6" s="175" t="s">
        <v>59</v>
      </c>
      <c r="P6" s="175" t="s">
        <v>59</v>
      </c>
      <c r="Q6" s="175" t="s">
        <v>59</v>
      </c>
      <c r="R6" s="175" t="s">
        <v>59</v>
      </c>
      <c r="S6" s="175" t="s">
        <v>59</v>
      </c>
      <c r="T6" s="175" t="s">
        <v>59</v>
      </c>
      <c r="U6" s="175" t="s">
        <v>59</v>
      </c>
      <c r="V6" s="175" t="s">
        <v>59</v>
      </c>
      <c r="W6" s="175" t="s">
        <v>59</v>
      </c>
      <c r="X6" s="175" t="s">
        <v>59</v>
      </c>
      <c r="Y6" s="175" t="s">
        <v>59</v>
      </c>
      <c r="Z6" s="175" t="s">
        <v>59</v>
      </c>
      <c r="AA6" s="175" t="s">
        <v>59</v>
      </c>
      <c r="AB6" s="175" t="s">
        <v>59</v>
      </c>
      <c r="AC6" s="175" t="s">
        <v>59</v>
      </c>
      <c r="AD6" s="175" t="s">
        <v>59</v>
      </c>
      <c r="AE6" s="175" t="s">
        <v>59</v>
      </c>
      <c r="AF6" s="176" t="s">
        <v>176</v>
      </c>
      <c r="AH6" s="177" t="s">
        <v>196</v>
      </c>
      <c r="AI6" s="178">
        <f>NPV(Constants!$D$21,'Analysis (B)'!AF8:AF12)+'Analysis (B)'!AF7</f>
        <v>-6244.4186941370517</v>
      </c>
    </row>
    <row r="7" spans="2:35" x14ac:dyDescent="0.3">
      <c r="B7" s="172">
        <v>2</v>
      </c>
      <c r="C7" s="173">
        <f>Weather!I9*Configurations!$C$31*(1-Constants!$N$9)</f>
        <v>260.08456109110989</v>
      </c>
      <c r="D7" s="173">
        <f>Consumption!D11</f>
        <v>726.25333333333333</v>
      </c>
      <c r="E7" s="173">
        <f t="shared" ref="E7:E17" si="0">IF(D7-C7&gt;0, D7-C7,0)</f>
        <v>466.16877224222344</v>
      </c>
      <c r="F7" s="174">
        <f t="shared" ref="F7:F8" si="1">IF(C7&gt;D7,C7-D7,0)</f>
        <v>0</v>
      </c>
      <c r="H7" s="179">
        <v>0</v>
      </c>
      <c r="I7" s="180">
        <v>1</v>
      </c>
      <c r="J7" s="181">
        <v>0</v>
      </c>
      <c r="K7" s="181">
        <v>0</v>
      </c>
      <c r="L7" s="182">
        <v>0</v>
      </c>
      <c r="M7" s="183">
        <f>IF($C$20=0,Configurations!$C$34-Configurations!$C$35,0)</f>
        <v>0</v>
      </c>
      <c r="N7" s="183">
        <v>0</v>
      </c>
      <c r="O7" s="183">
        <v>0</v>
      </c>
      <c r="P7" s="183">
        <f>K7*'Grid Power'!$L$18</f>
        <v>0</v>
      </c>
      <c r="Q7" s="183">
        <v>0</v>
      </c>
      <c r="R7" s="182">
        <f t="shared" ref="R7:R12" si="2">SUM(P7:Q7)-SUM(L7:O7)</f>
        <v>0</v>
      </c>
      <c r="S7" s="182">
        <f>R7+'Analysis (Nothing)'!D5</f>
        <v>0</v>
      </c>
      <c r="T7" s="182">
        <f>Configurations!$C$47/2</f>
        <v>5120.5</v>
      </c>
      <c r="U7" s="182">
        <f>0</f>
        <v>0</v>
      </c>
      <c r="V7" s="182">
        <f>U7+T7</f>
        <v>5120.5</v>
      </c>
      <c r="W7" s="182">
        <f>Configurations!$D$47/2</f>
        <v>837.9</v>
      </c>
      <c r="X7" s="182">
        <f>0</f>
        <v>0</v>
      </c>
      <c r="Y7" s="182">
        <f>X7+W7</f>
        <v>837.9</v>
      </c>
      <c r="Z7" s="182">
        <f>Configurations!$E$47/2</f>
        <v>1303.4000000000001</v>
      </c>
      <c r="AA7" s="183">
        <v>0</v>
      </c>
      <c r="AB7" s="182">
        <f>Z7-AA7</f>
        <v>1303.4000000000001</v>
      </c>
      <c r="AC7" s="183">
        <f>IF(S7&lt;0, 0,S7-AA7-X7-U7)</f>
        <v>0</v>
      </c>
      <c r="AD7" s="182">
        <f>AC7*Constants!$D$23</f>
        <v>0</v>
      </c>
      <c r="AE7" s="182">
        <f t="shared" ref="AE7:AE12" si="3">S7-AD7</f>
        <v>0</v>
      </c>
      <c r="AF7" s="184">
        <f>AE7*(1+Constants!$D$20)^-H7</f>
        <v>0</v>
      </c>
      <c r="AH7" s="166" t="s">
        <v>197</v>
      </c>
      <c r="AI7" s="185">
        <f>PMT(Constants!$D$21,5,-'Analysis (B)'!AI6)</f>
        <v>-1363.4973676040406</v>
      </c>
    </row>
    <row r="8" spans="2:35" x14ac:dyDescent="0.3">
      <c r="B8" s="172">
        <v>3</v>
      </c>
      <c r="C8" s="173">
        <f>Weather!I10*Configurations!$C$31*(1-Constants!$N$9)</f>
        <v>472.72298971132597</v>
      </c>
      <c r="D8" s="173">
        <f>Consumption!D12</f>
        <v>691.67</v>
      </c>
      <c r="E8" s="173">
        <f t="shared" si="0"/>
        <v>218.94701028867399</v>
      </c>
      <c r="F8" s="174">
        <f t="shared" si="1"/>
        <v>0</v>
      </c>
      <c r="H8" s="172">
        <v>1</v>
      </c>
      <c r="I8" s="186">
        <f>I7*(1-Constants!$D$11)</f>
        <v>0.995</v>
      </c>
      <c r="J8" s="173">
        <f>$E$18*(2-I8)</f>
        <v>2418.9376949078692</v>
      </c>
      <c r="K8" s="173">
        <f>$F$18*I8</f>
        <v>3514.8395935242911</v>
      </c>
      <c r="L8" s="187">
        <f>IF(J8*'Grid Power'!K18&lt;0,0,J8*'Grid Power'!K18)</f>
        <v>294.62816903565397</v>
      </c>
      <c r="M8" s="188">
        <f>IF($C$20=5,Configurations!$F$34,IF($C$20=15,Configurations!$F$34,0))</f>
        <v>3261.3641495711458</v>
      </c>
      <c r="N8" s="188">
        <v>50</v>
      </c>
      <c r="O8" s="188">
        <v>0</v>
      </c>
      <c r="P8" s="188">
        <f>K8*'Grid Power'!L18</f>
        <v>358.51293205671942</v>
      </c>
      <c r="Q8" s="188"/>
      <c r="R8" s="187">
        <f t="shared" si="2"/>
        <v>-3247.4793865500806</v>
      </c>
      <c r="S8" s="187">
        <f>R8+'Analysis (Nothing)'!D6</f>
        <v>-2236.5291693243207</v>
      </c>
      <c r="T8" s="187">
        <f>Configurations!$C$47/2</f>
        <v>5120.5</v>
      </c>
      <c r="U8" s="187">
        <f>V7*Configurations!$C$48</f>
        <v>1536.1499999999999</v>
      </c>
      <c r="V8" s="187">
        <f>V7+T8-U8</f>
        <v>8704.85</v>
      </c>
      <c r="W8" s="187">
        <f>Configurations!$D$47/2</f>
        <v>837.9</v>
      </c>
      <c r="X8" s="187">
        <f>Y7*Configurations!$D$48</f>
        <v>83.79</v>
      </c>
      <c r="Y8" s="187">
        <f>Y7+W8-X8</f>
        <v>1592.01</v>
      </c>
      <c r="Z8" s="187">
        <f>Configurations!$E$47/2</f>
        <v>1303.4000000000001</v>
      </c>
      <c r="AA8" s="187">
        <f>AB7*Configurations!$E$48</f>
        <v>260.68</v>
      </c>
      <c r="AB8" s="187">
        <f>AB7+Z8-AA8</f>
        <v>2346.1200000000003</v>
      </c>
      <c r="AC8" s="188">
        <f>IF(S8-AA8-X8-U8&lt;0, 0,S8-AA8-X8-U8)</f>
        <v>0</v>
      </c>
      <c r="AD8" s="187">
        <f>AC8*Constants!$D$23</f>
        <v>0</v>
      </c>
      <c r="AE8" s="187">
        <f t="shared" si="3"/>
        <v>-2236.5291693243207</v>
      </c>
      <c r="AF8" s="189">
        <f>AE8*(1+Constants!$D$20)^-H8</f>
        <v>-2192.6756562003143</v>
      </c>
    </row>
    <row r="9" spans="2:35" x14ac:dyDescent="0.3">
      <c r="B9" s="172">
        <v>4</v>
      </c>
      <c r="C9" s="173">
        <f>Weather!I11*Configurations!$C$31*(1-Constants!$N$9)</f>
        <v>813.72076543584149</v>
      </c>
      <c r="D9" s="173">
        <f>Consumption!D13</f>
        <v>657.08666666666659</v>
      </c>
      <c r="E9" s="173">
        <f t="shared" si="0"/>
        <v>0</v>
      </c>
      <c r="F9" s="174">
        <f>IF(C9&gt;D9,C9-D9,0)</f>
        <v>156.6340987691749</v>
      </c>
      <c r="H9" s="172">
        <v>2</v>
      </c>
      <c r="I9" s="186">
        <f>I8*(1-Constants!$D$11)</f>
        <v>0.99002500000000004</v>
      </c>
      <c r="J9" s="173">
        <f t="shared" ref="J9:J12" si="4">$E$18*(2-I9)</f>
        <v>2430.9120382234578</v>
      </c>
      <c r="K9" s="173">
        <f t="shared" ref="K9:K12" si="5">$F$18*I9</f>
        <v>3497.2653955566698</v>
      </c>
      <c r="L9" s="187">
        <f>IF(J9*'Grid Power'!K19&lt;0,0,J9*'Grid Power'!K19)</f>
        <v>309.52443382257115</v>
      </c>
      <c r="M9" s="188">
        <f>IF($C$20=5,Configurations!$F$34,IF($C$20=15,Configurations!$F$34,0))</f>
        <v>3261.3641495711458</v>
      </c>
      <c r="N9" s="188">
        <v>50</v>
      </c>
      <c r="O9" s="188">
        <v>0</v>
      </c>
      <c r="P9" s="188">
        <f>K9*'Grid Power'!L19</f>
        <v>360.28757107040019</v>
      </c>
      <c r="Q9" s="188"/>
      <c r="R9" s="187">
        <f t="shared" si="2"/>
        <v>-3260.6010123233168</v>
      </c>
      <c r="S9" s="187">
        <f>R9+'Analysis (Nothing)'!D7</f>
        <v>-2203.7691972230878</v>
      </c>
      <c r="T9" s="187">
        <v>0</v>
      </c>
      <c r="U9" s="187">
        <f>V8*Configurations!$C$48</f>
        <v>2611.4549999999999</v>
      </c>
      <c r="V9" s="187">
        <f t="shared" ref="V9:V12" si="6">V8+T9-U9</f>
        <v>6093.3950000000004</v>
      </c>
      <c r="W9" s="187">
        <v>0</v>
      </c>
      <c r="X9" s="187">
        <f>Y8*Configurations!$D$48</f>
        <v>159.20100000000002</v>
      </c>
      <c r="Y9" s="187">
        <f t="shared" ref="Y9:Y12" si="7">Y8+W9-X9</f>
        <v>1432.809</v>
      </c>
      <c r="Z9" s="188">
        <v>0</v>
      </c>
      <c r="AA9" s="187">
        <f>AB8*Configurations!$E$48</f>
        <v>469.2240000000001</v>
      </c>
      <c r="AB9" s="187">
        <f t="shared" ref="AB9:AB12" si="8">AB8+Z9-AA9</f>
        <v>1876.8960000000002</v>
      </c>
      <c r="AC9" s="188">
        <f t="shared" ref="AC9:AC12" si="9">IF(S9-AA9-X9-U9&lt;0, 0,S9-AA9-X9-U9)</f>
        <v>0</v>
      </c>
      <c r="AD9" s="187">
        <f>AC9*Constants!$D$23</f>
        <v>0</v>
      </c>
      <c r="AE9" s="187">
        <f t="shared" si="3"/>
        <v>-2203.7691972230878</v>
      </c>
      <c r="AF9" s="189">
        <f>AE9*(1+Constants!$D$20)^-H9</f>
        <v>-2118.1941534247289</v>
      </c>
    </row>
    <row r="10" spans="2:35" x14ac:dyDescent="0.3">
      <c r="B10" s="172">
        <v>5</v>
      </c>
      <c r="C10" s="173">
        <f>Weather!I12*Configurations!$C$31*(1-Constants!$N$9)</f>
        <v>1208.023166803833</v>
      </c>
      <c r="D10" s="173">
        <f>Consumption!D14</f>
        <v>631.76990957157625</v>
      </c>
      <c r="E10" s="173">
        <f t="shared" si="0"/>
        <v>0</v>
      </c>
      <c r="F10" s="174">
        <f t="shared" ref="F10:F17" si="10">IF(C10&gt;D10,C10-D10,0)</f>
        <v>576.25325723225671</v>
      </c>
      <c r="H10" s="172">
        <v>3</v>
      </c>
      <c r="I10" s="186">
        <f>I9*(1-Constants!$D$11)</f>
        <v>0.98507487500000002</v>
      </c>
      <c r="J10" s="173">
        <f t="shared" si="4"/>
        <v>2442.8265098224692</v>
      </c>
      <c r="K10" s="173">
        <f t="shared" si="5"/>
        <v>3479.7790685788864</v>
      </c>
      <c r="L10" s="187">
        <f>IF(J10*'Grid Power'!K20&lt;0,0,J10*'Grid Power'!K20)</f>
        <v>325.19705819401321</v>
      </c>
      <c r="M10" s="188">
        <f>IF($C$20=5,Configurations!$F$34,IF($C$20=15,Configurations!$F$34,0))</f>
        <v>3261.3641495711458</v>
      </c>
      <c r="N10" s="188">
        <v>50</v>
      </c>
      <c r="O10" s="188">
        <v>0</v>
      </c>
      <c r="P10" s="188">
        <f>K10*'Grid Power'!L20</f>
        <v>362.07099454719867</v>
      </c>
      <c r="Q10" s="188"/>
      <c r="R10" s="187">
        <f t="shared" si="2"/>
        <v>-3274.4902132179604</v>
      </c>
      <c r="S10" s="187">
        <f>R10+'Analysis (Nothing)'!D8</f>
        <v>-2169.5617297421541</v>
      </c>
      <c r="T10" s="187">
        <v>0</v>
      </c>
      <c r="U10" s="187">
        <f>V9*Configurations!$C$48</f>
        <v>1828.0185000000001</v>
      </c>
      <c r="V10" s="187">
        <f t="shared" si="6"/>
        <v>4265.3765000000003</v>
      </c>
      <c r="W10" s="187">
        <v>0</v>
      </c>
      <c r="X10" s="187">
        <f>Y9*Configurations!$D$48</f>
        <v>143.2809</v>
      </c>
      <c r="Y10" s="187">
        <f t="shared" si="7"/>
        <v>1289.5281</v>
      </c>
      <c r="Z10" s="188">
        <v>0</v>
      </c>
      <c r="AA10" s="187">
        <f>AB9*Configurations!$E$48</f>
        <v>375.37920000000008</v>
      </c>
      <c r="AB10" s="187">
        <f t="shared" si="8"/>
        <v>1501.5168000000001</v>
      </c>
      <c r="AC10" s="188">
        <f t="shared" si="9"/>
        <v>0</v>
      </c>
      <c r="AD10" s="187">
        <f>AC10*Constants!$D$23</f>
        <v>0</v>
      </c>
      <c r="AE10" s="187">
        <f t="shared" si="3"/>
        <v>-2169.5617297421541</v>
      </c>
      <c r="AF10" s="189">
        <f>AE10*(1+Constants!$D$20)^-H10</f>
        <v>-2044.426474114551</v>
      </c>
    </row>
    <row r="11" spans="2:35" x14ac:dyDescent="0.3">
      <c r="B11" s="172">
        <v>6</v>
      </c>
      <c r="C11" s="173">
        <f>Weather!I13*Configurations!$C$31*(1-Constants!$N$9)</f>
        <v>1505.4250693046647</v>
      </c>
      <c r="D11" s="173">
        <f>Consumption!D15</f>
        <v>622.50333333333333</v>
      </c>
      <c r="E11" s="173">
        <f t="shared" si="0"/>
        <v>0</v>
      </c>
      <c r="F11" s="174">
        <f t="shared" si="10"/>
        <v>882.92173597133137</v>
      </c>
      <c r="H11" s="172">
        <v>4</v>
      </c>
      <c r="I11" s="186">
        <f>I10*(1-Constants!$D$11)</f>
        <v>0.98014950062500006</v>
      </c>
      <c r="J11" s="173">
        <f t="shared" si="4"/>
        <v>2454.6814090634848</v>
      </c>
      <c r="K11" s="173">
        <f t="shared" si="5"/>
        <v>3462.3801732359921</v>
      </c>
      <c r="L11" s="187">
        <f>IF(J11*'Grid Power'!K21&lt;0,0,J11*'Grid Power'!K21)</f>
        <v>341.68717912628318</v>
      </c>
      <c r="M11" s="188">
        <f>IF($C$20=5,Configurations!$F$34,IF($C$20=15,Configurations!$F$34,0))</f>
        <v>3261.3641495711458</v>
      </c>
      <c r="N11" s="188">
        <v>50</v>
      </c>
      <c r="O11" s="188">
        <v>0</v>
      </c>
      <c r="P11" s="188">
        <f>K11*'Grid Power'!L21</f>
        <v>363.86324597020734</v>
      </c>
      <c r="Q11" s="188"/>
      <c r="R11" s="187">
        <f t="shared" si="2"/>
        <v>-3289.1880827272216</v>
      </c>
      <c r="S11" s="187">
        <f>R11+'Analysis (Nothing)'!D9</f>
        <v>-2133.8376393809631</v>
      </c>
      <c r="T11" s="187">
        <v>0</v>
      </c>
      <c r="U11" s="187">
        <f>V10*Configurations!$C$48</f>
        <v>1279.61295</v>
      </c>
      <c r="V11" s="187">
        <f t="shared" si="6"/>
        <v>2985.7635500000006</v>
      </c>
      <c r="W11" s="187">
        <v>0</v>
      </c>
      <c r="X11" s="187">
        <f>Y10*Configurations!$D$48</f>
        <v>128.95281</v>
      </c>
      <c r="Y11" s="187">
        <f t="shared" si="7"/>
        <v>1160.57529</v>
      </c>
      <c r="Z11" s="188">
        <v>0</v>
      </c>
      <c r="AA11" s="187">
        <f>AB10*Configurations!$E$48</f>
        <v>300.30336000000005</v>
      </c>
      <c r="AB11" s="187">
        <f t="shared" si="8"/>
        <v>1201.21344</v>
      </c>
      <c r="AC11" s="188">
        <f t="shared" si="9"/>
        <v>0</v>
      </c>
      <c r="AD11" s="187">
        <f>AC11*Constants!$D$23</f>
        <v>0</v>
      </c>
      <c r="AE11" s="187">
        <f t="shared" si="3"/>
        <v>-2133.8376393809631</v>
      </c>
      <c r="AF11" s="189">
        <f>AE11*(1+Constants!$D$20)^-H11</f>
        <v>-1971.3361430253171</v>
      </c>
    </row>
    <row r="12" spans="2:35" x14ac:dyDescent="0.3">
      <c r="B12" s="172">
        <v>7</v>
      </c>
      <c r="C12" s="173">
        <f>Weather!I14*Configurations!$C$31*(1-Constants!$N$9)</f>
        <v>1565.3322810788181</v>
      </c>
      <c r="D12" s="173">
        <f>Consumption!D16</f>
        <v>631.76990957157625</v>
      </c>
      <c r="E12" s="173">
        <f t="shared" si="0"/>
        <v>0</v>
      </c>
      <c r="F12" s="174">
        <f t="shared" si="10"/>
        <v>933.56237150724189</v>
      </c>
      <c r="H12" s="190">
        <v>5</v>
      </c>
      <c r="I12" s="191">
        <f>I11*(1-Constants!$D$11)</f>
        <v>0.97524875312187509</v>
      </c>
      <c r="J12" s="192">
        <f t="shared" si="4"/>
        <v>2466.4770338082949</v>
      </c>
      <c r="K12" s="192">
        <f t="shared" si="5"/>
        <v>3445.0682723698119</v>
      </c>
      <c r="L12" s="193">
        <f>IF(J12*'Grid Power'!K22&lt;0,0,J12*'Grid Power'!K22)</f>
        <v>359.03812412903397</v>
      </c>
      <c r="M12" s="194">
        <f>IF($C$20=5,Configurations!$F$34,IF($C$20=15,Configurations!$F$34,0))</f>
        <v>3261.3641495711458</v>
      </c>
      <c r="N12" s="194">
        <v>50</v>
      </c>
      <c r="O12" s="194">
        <v>0</v>
      </c>
      <c r="P12" s="194">
        <f>K12*'Grid Power'!L22</f>
        <v>365.6643690377598</v>
      </c>
      <c r="Q12" s="194">
        <f>V12+Y12+AB12</f>
        <v>4095.5229980000004</v>
      </c>
      <c r="R12" s="193">
        <f t="shared" si="2"/>
        <v>790.78509333758029</v>
      </c>
      <c r="S12" s="193">
        <f>R12+'Analysis (Nothing)'!D10</f>
        <v>1998.9985698663743</v>
      </c>
      <c r="T12" s="193">
        <v>0</v>
      </c>
      <c r="U12" s="193">
        <f>V11*Configurations!$C$48</f>
        <v>895.72906500000011</v>
      </c>
      <c r="V12" s="193">
        <f t="shared" si="6"/>
        <v>2090.0344850000006</v>
      </c>
      <c r="W12" s="193">
        <v>0</v>
      </c>
      <c r="X12" s="193">
        <f>Y11*Configurations!$D$48</f>
        <v>116.057529</v>
      </c>
      <c r="Y12" s="193">
        <f t="shared" si="7"/>
        <v>1044.5177610000001</v>
      </c>
      <c r="Z12" s="194">
        <v>0</v>
      </c>
      <c r="AA12" s="193">
        <f>AB11*Configurations!$E$48</f>
        <v>240.24268800000002</v>
      </c>
      <c r="AB12" s="193">
        <f t="shared" si="8"/>
        <v>960.97075199999995</v>
      </c>
      <c r="AC12" s="194">
        <f t="shared" si="9"/>
        <v>746.9692878663742</v>
      </c>
      <c r="AD12" s="193">
        <f>AC12*Constants!$D$23</f>
        <v>74.696928786637429</v>
      </c>
      <c r="AE12" s="193">
        <f t="shared" si="3"/>
        <v>1924.3016410797368</v>
      </c>
      <c r="AF12" s="195">
        <f>AE12*(1+Constants!$D$20)^-H12</f>
        <v>1742.8992837321862</v>
      </c>
    </row>
    <row r="13" spans="2:35" x14ac:dyDescent="0.3">
      <c r="B13" s="172">
        <v>8</v>
      </c>
      <c r="C13" s="173">
        <f>Weather!I15*Configurations!$C$31*(1-Constants!$N$9)</f>
        <v>1355.4223887081655</v>
      </c>
      <c r="D13" s="173">
        <f>Consumption!D17</f>
        <v>657.08666666666659</v>
      </c>
      <c r="E13" s="173">
        <f t="shared" si="0"/>
        <v>0</v>
      </c>
      <c r="F13" s="174">
        <f t="shared" si="10"/>
        <v>698.33572204149891</v>
      </c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</row>
    <row r="14" spans="2:35" x14ac:dyDescent="0.3">
      <c r="B14" s="172">
        <v>9</v>
      </c>
      <c r="C14" s="173">
        <f>Weather!I16*Configurations!$C$31*(1-Constants!$N$9)</f>
        <v>976.46491852300971</v>
      </c>
      <c r="D14" s="173">
        <f>Consumption!D18</f>
        <v>691.67</v>
      </c>
      <c r="E14" s="173">
        <f t="shared" si="0"/>
        <v>0</v>
      </c>
      <c r="F14" s="174">
        <f t="shared" si="10"/>
        <v>284.79491852300976</v>
      </c>
      <c r="H14" s="290" t="s">
        <v>200</v>
      </c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</row>
    <row r="15" spans="2:35" x14ac:dyDescent="0.3">
      <c r="B15" s="172">
        <v>10</v>
      </c>
      <c r="C15" s="173">
        <f>Weather!I17*Configurations!$C$31*(1-Constants!$N$9)</f>
        <v>590.90373713915756</v>
      </c>
      <c r="D15" s="173">
        <f>Consumption!D19</f>
        <v>726.25333333333333</v>
      </c>
      <c r="E15" s="173">
        <f t="shared" si="0"/>
        <v>135.34959619417577</v>
      </c>
      <c r="F15" s="174">
        <f t="shared" si="10"/>
        <v>0</v>
      </c>
      <c r="H15" s="290" t="s">
        <v>56</v>
      </c>
      <c r="I15" s="284" t="s">
        <v>116</v>
      </c>
      <c r="J15" s="285"/>
      <c r="K15" s="286"/>
      <c r="L15" s="284" t="s">
        <v>6</v>
      </c>
      <c r="M15" s="285"/>
      <c r="N15" s="285"/>
      <c r="O15" s="286"/>
      <c r="P15" s="285"/>
      <c r="Q15" s="286"/>
      <c r="R15" s="284" t="s">
        <v>172</v>
      </c>
      <c r="S15" s="286"/>
      <c r="T15" s="284" t="s">
        <v>227</v>
      </c>
      <c r="U15" s="285"/>
      <c r="V15" s="286"/>
      <c r="W15" s="284" t="s">
        <v>228</v>
      </c>
      <c r="X15" s="285"/>
      <c r="Y15" s="286"/>
      <c r="Z15" s="284" t="s">
        <v>245</v>
      </c>
      <c r="AA15" s="285"/>
      <c r="AB15" s="286"/>
      <c r="AC15" s="164"/>
      <c r="AD15" s="164"/>
      <c r="AE15" s="290" t="s">
        <v>195</v>
      </c>
      <c r="AF15" s="290"/>
      <c r="AH15" s="166" t="s">
        <v>192</v>
      </c>
      <c r="AI15" s="167">
        <f>IRR(AE18:AE38)</f>
        <v>2.3326860971492724E-2</v>
      </c>
    </row>
    <row r="16" spans="2:35" x14ac:dyDescent="0.3">
      <c r="B16" s="172">
        <v>11</v>
      </c>
      <c r="C16" s="173">
        <f>Weather!I18*Configurations!$C$31*(1-Constants!$N$9)</f>
        <v>318.35082419077713</v>
      </c>
      <c r="D16" s="173">
        <f>Consumption!D20</f>
        <v>751.57009042842367</v>
      </c>
      <c r="E16" s="173">
        <f t="shared" si="0"/>
        <v>433.21926623764654</v>
      </c>
      <c r="F16" s="174">
        <f t="shared" si="10"/>
        <v>0</v>
      </c>
      <c r="H16" s="290"/>
      <c r="I16" s="288" t="s">
        <v>152</v>
      </c>
      <c r="J16" s="170" t="s">
        <v>168</v>
      </c>
      <c r="K16" s="170" t="s">
        <v>241</v>
      </c>
      <c r="L16" s="170" t="s">
        <v>160</v>
      </c>
      <c r="M16" s="170" t="s">
        <v>139</v>
      </c>
      <c r="N16" s="170" t="s">
        <v>162</v>
      </c>
      <c r="O16" s="170" t="s">
        <v>224</v>
      </c>
      <c r="P16" s="170" t="s">
        <v>163</v>
      </c>
      <c r="Q16" s="170" t="s">
        <v>146</v>
      </c>
      <c r="R16" s="170" t="s">
        <v>172</v>
      </c>
      <c r="S16" s="170" t="s">
        <v>175</v>
      </c>
      <c r="T16" s="170" t="str">
        <f>"+CCA"</f>
        <v>+CCA</v>
      </c>
      <c r="U16" s="170" t="s">
        <v>8</v>
      </c>
      <c r="V16" s="170" t="s">
        <v>229</v>
      </c>
      <c r="W16" s="170" t="str">
        <f>"+CCA"</f>
        <v>+CCA</v>
      </c>
      <c r="X16" s="170" t="s">
        <v>8</v>
      </c>
      <c r="Y16" s="170" t="s">
        <v>229</v>
      </c>
      <c r="Z16" s="170" t="str">
        <f>"+CCA"</f>
        <v>+CCA</v>
      </c>
      <c r="AA16" s="170" t="s">
        <v>8</v>
      </c>
      <c r="AB16" s="170" t="s">
        <v>229</v>
      </c>
      <c r="AC16" s="170" t="s">
        <v>170</v>
      </c>
      <c r="AD16" s="170" t="s">
        <v>173</v>
      </c>
      <c r="AE16" s="170" t="s">
        <v>194</v>
      </c>
      <c r="AF16" s="170" t="s">
        <v>194</v>
      </c>
      <c r="AH16" s="166" t="s">
        <v>193</v>
      </c>
      <c r="AI16" s="171">
        <f>IRR(AF18:AF38)</f>
        <v>3.2616284034934218E-3</v>
      </c>
    </row>
    <row r="17" spans="2:35" x14ac:dyDescent="0.3">
      <c r="B17" s="172">
        <v>12</v>
      </c>
      <c r="C17" s="173">
        <f>Weather!I19*Configurations!$C$31*(1-Constants!$N$9)</f>
        <v>187.27021339092627</v>
      </c>
      <c r="D17" s="173">
        <f>Consumption!D21</f>
        <v>760.83666666666659</v>
      </c>
      <c r="E17" s="173">
        <f t="shared" si="0"/>
        <v>573.56645327574029</v>
      </c>
      <c r="F17" s="174">
        <f t="shared" si="10"/>
        <v>0</v>
      </c>
      <c r="H17" s="293"/>
      <c r="I17" s="289"/>
      <c r="J17" s="175" t="s">
        <v>62</v>
      </c>
      <c r="K17" s="175" t="s">
        <v>62</v>
      </c>
      <c r="L17" s="175" t="s">
        <v>59</v>
      </c>
      <c r="M17" s="175" t="s">
        <v>59</v>
      </c>
      <c r="N17" s="175" t="s">
        <v>59</v>
      </c>
      <c r="O17" s="175" t="s">
        <v>59</v>
      </c>
      <c r="P17" s="175" t="s">
        <v>59</v>
      </c>
      <c r="Q17" s="175" t="s">
        <v>59</v>
      </c>
      <c r="R17" s="175" t="s">
        <v>59</v>
      </c>
      <c r="S17" s="175" t="s">
        <v>59</v>
      </c>
      <c r="T17" s="175" t="s">
        <v>59</v>
      </c>
      <c r="U17" s="175" t="s">
        <v>59</v>
      </c>
      <c r="V17" s="175" t="s">
        <v>59</v>
      </c>
      <c r="W17" s="175" t="s">
        <v>59</v>
      </c>
      <c r="X17" s="175" t="s">
        <v>59</v>
      </c>
      <c r="Y17" s="175" t="s">
        <v>59</v>
      </c>
      <c r="Z17" s="175" t="s">
        <v>59</v>
      </c>
      <c r="AA17" s="175" t="s">
        <v>59</v>
      </c>
      <c r="AB17" s="175" t="s">
        <v>59</v>
      </c>
      <c r="AC17" s="175" t="s">
        <v>59</v>
      </c>
      <c r="AD17" s="175" t="s">
        <v>59</v>
      </c>
      <c r="AE17" s="175" t="s">
        <v>59</v>
      </c>
      <c r="AF17" s="176" t="s">
        <v>176</v>
      </c>
      <c r="AH17" s="177" t="s">
        <v>196</v>
      </c>
      <c r="AI17" s="178">
        <f>NPV(Constants!$D$21,'Analysis (B)'!AF19:AF38)+'Analysis (B)'!AF18</f>
        <v>-1149.9638017699665</v>
      </c>
    </row>
    <row r="18" spans="2:35" x14ac:dyDescent="0.3">
      <c r="B18" s="197" t="s">
        <v>87</v>
      </c>
      <c r="C18" s="198">
        <f>SUM(C6:C17)</f>
        <v>9425.6389250317043</v>
      </c>
      <c r="D18" s="198">
        <f>SUM(D6:D17)</f>
        <v>8300.0400000000009</v>
      </c>
      <c r="E18" s="198">
        <f>SUM(E6:E17)</f>
        <v>2406.9031790128056</v>
      </c>
      <c r="F18" s="199">
        <f>SUM(F6:F17)</f>
        <v>3532.5021040445135</v>
      </c>
      <c r="G18" s="196"/>
      <c r="H18" s="179">
        <v>0</v>
      </c>
      <c r="I18" s="180">
        <v>1</v>
      </c>
      <c r="J18" s="181">
        <v>0</v>
      </c>
      <c r="K18" s="181">
        <v>0</v>
      </c>
      <c r="L18" s="182">
        <v>0</v>
      </c>
      <c r="M18" s="183">
        <f>IF($C$20=0,Configurations!$C$34-Configurations!$C$35,0)</f>
        <v>0</v>
      </c>
      <c r="N18" s="183">
        <v>0</v>
      </c>
      <c r="O18" s="183">
        <v>0</v>
      </c>
      <c r="P18" s="183">
        <f>K18*'Grid Power'!$L$18</f>
        <v>0</v>
      </c>
      <c r="Q18" s="183">
        <v>0</v>
      </c>
      <c r="R18" s="182">
        <f t="shared" ref="R18:R38" si="11">SUM(P18:Q18)-SUM(L18:O18)</f>
        <v>0</v>
      </c>
      <c r="S18" s="182">
        <f>R18+'Analysis (Nothing)'!D5</f>
        <v>0</v>
      </c>
      <c r="T18" s="182">
        <f>Configurations!$C$47/2</f>
        <v>5120.5</v>
      </c>
      <c r="U18" s="182">
        <f>0</f>
        <v>0</v>
      </c>
      <c r="V18" s="182">
        <f>U18+T18</f>
        <v>5120.5</v>
      </c>
      <c r="W18" s="182">
        <f>Configurations!$D$47/2</f>
        <v>837.9</v>
      </c>
      <c r="X18" s="182">
        <f>0</f>
        <v>0</v>
      </c>
      <c r="Y18" s="182">
        <f>X18+W18</f>
        <v>837.9</v>
      </c>
      <c r="Z18" s="182">
        <f>Configurations!$E$47/2</f>
        <v>1303.4000000000001</v>
      </c>
      <c r="AA18" s="183">
        <v>0</v>
      </c>
      <c r="AB18" s="182">
        <f>Z18-AA18</f>
        <v>1303.4000000000001</v>
      </c>
      <c r="AC18" s="183">
        <f>IF(S18&lt;0, 0,S18-AA18-X18-U18)</f>
        <v>0</v>
      </c>
      <c r="AD18" s="182">
        <f>AC18*Constants!$D$23</f>
        <v>0</v>
      </c>
      <c r="AE18" s="182">
        <f t="shared" ref="AE18:AE23" si="12">S18-AD18</f>
        <v>0</v>
      </c>
      <c r="AF18" s="184">
        <f>AE18*(1+Constants!$D$20)^-H18</f>
        <v>0</v>
      </c>
      <c r="AH18" s="166" t="s">
        <v>197</v>
      </c>
      <c r="AI18" s="185">
        <f>PMT(Constants!$D$21,5,-'Analysis (B)'!AI17)</f>
        <v>-251.099853061658</v>
      </c>
    </row>
    <row r="19" spans="2:35" x14ac:dyDescent="0.3">
      <c r="D19" s="200"/>
      <c r="G19" s="201"/>
      <c r="H19" s="172">
        <v>1</v>
      </c>
      <c r="I19" s="186">
        <f>I18*(1-Constants!$D$11)</f>
        <v>0.995</v>
      </c>
      <c r="J19" s="173">
        <f>$E$18*(2-I19)</f>
        <v>2418.9376949078692</v>
      </c>
      <c r="K19" s="173">
        <f>$F$18*I19</f>
        <v>3514.8395935242911</v>
      </c>
      <c r="L19" s="187">
        <f>IF(J19*'Grid Power'!K18&lt;0,0,J19*'Grid Power'!K18)</f>
        <v>294.62816903565397</v>
      </c>
      <c r="M19" s="188">
        <f>IF($C$20=5,Configurations!$F$34,IF($C$20=15,Configurations!$F$35,0))</f>
        <v>1360.3531010425304</v>
      </c>
      <c r="N19" s="188">
        <v>50</v>
      </c>
      <c r="O19" s="188">
        <v>0</v>
      </c>
      <c r="P19" s="188">
        <f>K19*'Grid Power'!L18</f>
        <v>358.51293205671942</v>
      </c>
      <c r="Q19" s="188">
        <v>0</v>
      </c>
      <c r="R19" s="187">
        <f t="shared" si="11"/>
        <v>-1346.4683380214651</v>
      </c>
      <c r="S19" s="187">
        <f>R19+'Analysis (Nothing)'!D6</f>
        <v>-335.51812079570504</v>
      </c>
      <c r="T19" s="187">
        <f>Configurations!$C$47/2</f>
        <v>5120.5</v>
      </c>
      <c r="U19" s="187">
        <f>V18*Configurations!$C$48</f>
        <v>1536.1499999999999</v>
      </c>
      <c r="V19" s="187">
        <f>V18+T19-U19</f>
        <v>8704.85</v>
      </c>
      <c r="W19" s="187">
        <f>Configurations!$D$47/2</f>
        <v>837.9</v>
      </c>
      <c r="X19" s="187">
        <f>Y18*Configurations!$D$48</f>
        <v>83.79</v>
      </c>
      <c r="Y19" s="187">
        <f>Y18+W19-X19</f>
        <v>1592.01</v>
      </c>
      <c r="Z19" s="187">
        <f>Configurations!$E$47/2</f>
        <v>1303.4000000000001</v>
      </c>
      <c r="AA19" s="187">
        <f>AB18*Configurations!$E$48</f>
        <v>260.68</v>
      </c>
      <c r="AB19" s="187">
        <f>AB18+Z19-AA19</f>
        <v>2346.1200000000003</v>
      </c>
      <c r="AC19" s="188">
        <f>IF(S19-AA19-X19-U19&lt;0, 0,S19-AA19-X19-U19)</f>
        <v>0</v>
      </c>
      <c r="AD19" s="187">
        <f>AC19*Constants!$D$23</f>
        <v>0</v>
      </c>
      <c r="AE19" s="187">
        <f t="shared" si="12"/>
        <v>-335.51812079570504</v>
      </c>
      <c r="AF19" s="189">
        <f>AE19*(1+Constants!$D$20)^-H19</f>
        <v>-328.9393341134363</v>
      </c>
    </row>
    <row r="20" spans="2:35" x14ac:dyDescent="0.3">
      <c r="B20" s="287" t="s">
        <v>254</v>
      </c>
      <c r="C20" s="162">
        <v>15</v>
      </c>
      <c r="H20" s="172">
        <v>2</v>
      </c>
      <c r="I20" s="186">
        <f>I19*(1-Constants!$D$11)</f>
        <v>0.99002500000000004</v>
      </c>
      <c r="J20" s="173">
        <f t="shared" ref="J20:J38" si="13">$E$18*(2-I20)</f>
        <v>2430.9120382234578</v>
      </c>
      <c r="K20" s="173">
        <f t="shared" ref="K20:K23" si="14">$F$18*I20</f>
        <v>3497.2653955566698</v>
      </c>
      <c r="L20" s="187">
        <f>IF(J20*'Grid Power'!K19&lt;0,0,J20*'Grid Power'!K19)</f>
        <v>309.52443382257115</v>
      </c>
      <c r="M20" s="188">
        <f>IF($C$20=5,Configurations!$F$34,IF($C$20=15,Configurations!$F$35,0))</f>
        <v>1360.3531010425304</v>
      </c>
      <c r="N20" s="188">
        <v>50</v>
      </c>
      <c r="O20" s="188">
        <v>0</v>
      </c>
      <c r="P20" s="188">
        <f>K20*'Grid Power'!L19</f>
        <v>360.28757107040019</v>
      </c>
      <c r="Q20" s="188">
        <v>0</v>
      </c>
      <c r="R20" s="187">
        <f t="shared" si="11"/>
        <v>-1359.5899637947014</v>
      </c>
      <c r="S20" s="187">
        <f>R20+'Analysis (Nothing)'!D7</f>
        <v>-302.75814869447254</v>
      </c>
      <c r="T20" s="187">
        <v>0</v>
      </c>
      <c r="U20" s="187">
        <f>V19*Configurations!$C$48</f>
        <v>2611.4549999999999</v>
      </c>
      <c r="V20" s="187">
        <f t="shared" ref="V20:V23" si="15">V19+T20-U20</f>
        <v>6093.3950000000004</v>
      </c>
      <c r="W20" s="187">
        <v>0</v>
      </c>
      <c r="X20" s="187">
        <f>Y19*Configurations!$D$48</f>
        <v>159.20100000000002</v>
      </c>
      <c r="Y20" s="187">
        <f t="shared" ref="Y20:Y23" si="16">Y19+W20-X20</f>
        <v>1432.809</v>
      </c>
      <c r="Z20" s="188">
        <v>0</v>
      </c>
      <c r="AA20" s="187">
        <f>AB19*Configurations!$E$48</f>
        <v>469.2240000000001</v>
      </c>
      <c r="AB20" s="187">
        <f t="shared" ref="AB20:AB23" si="17">AB19+Z20-AA20</f>
        <v>1876.8960000000002</v>
      </c>
      <c r="AC20" s="188">
        <f t="shared" ref="AC20:AC23" si="18">IF(S20-AA20-X20-U20&lt;0, 0,S20-AA20-X20-U20)</f>
        <v>0</v>
      </c>
      <c r="AD20" s="187">
        <f>AC20*Constants!$D$23</f>
        <v>0</v>
      </c>
      <c r="AE20" s="187">
        <f t="shared" si="12"/>
        <v>-302.75814869447254</v>
      </c>
      <c r="AF20" s="189">
        <f>AE20*(1+Constants!$D$20)^-H20</f>
        <v>-291.00168079053492</v>
      </c>
    </row>
    <row r="21" spans="2:35" x14ac:dyDescent="0.3">
      <c r="B21" s="287"/>
      <c r="C21" s="162" t="s">
        <v>255</v>
      </c>
      <c r="D21" s="200" t="s">
        <v>256</v>
      </c>
      <c r="H21" s="172">
        <v>3</v>
      </c>
      <c r="I21" s="186">
        <f>I20*(1-Constants!$D$11)</f>
        <v>0.98507487500000002</v>
      </c>
      <c r="J21" s="173">
        <f t="shared" si="13"/>
        <v>2442.8265098224692</v>
      </c>
      <c r="K21" s="173">
        <f t="shared" si="14"/>
        <v>3479.7790685788864</v>
      </c>
      <c r="L21" s="187">
        <f>IF(J21*'Grid Power'!K20&lt;0,0,J21*'Grid Power'!K20)</f>
        <v>325.19705819401321</v>
      </c>
      <c r="M21" s="188">
        <f>IF($C$20=5,Configurations!$F$34,IF($C$20=15,Configurations!$F$35,0))</f>
        <v>1360.3531010425304</v>
      </c>
      <c r="N21" s="188">
        <v>50</v>
      </c>
      <c r="O21" s="188">
        <v>0</v>
      </c>
      <c r="P21" s="188">
        <f>K21*'Grid Power'!L20</f>
        <v>362.07099454719867</v>
      </c>
      <c r="Q21" s="188">
        <v>0</v>
      </c>
      <c r="R21" s="187">
        <f t="shared" si="11"/>
        <v>-1373.479164689345</v>
      </c>
      <c r="S21" s="187">
        <f>R21+'Analysis (Nothing)'!D8</f>
        <v>-268.55068121353884</v>
      </c>
      <c r="T21" s="187">
        <v>0</v>
      </c>
      <c r="U21" s="187">
        <f>V20*Configurations!$C$48</f>
        <v>1828.0185000000001</v>
      </c>
      <c r="V21" s="187">
        <f t="shared" si="15"/>
        <v>4265.3765000000003</v>
      </c>
      <c r="W21" s="187">
        <v>0</v>
      </c>
      <c r="X21" s="187">
        <f>Y20*Configurations!$D$48</f>
        <v>143.2809</v>
      </c>
      <c r="Y21" s="187">
        <f t="shared" si="16"/>
        <v>1289.5281</v>
      </c>
      <c r="Z21" s="188">
        <v>0</v>
      </c>
      <c r="AA21" s="187">
        <f>AB20*Configurations!$E$48</f>
        <v>375.37920000000008</v>
      </c>
      <c r="AB21" s="187">
        <f t="shared" si="17"/>
        <v>1501.5168000000001</v>
      </c>
      <c r="AC21" s="188">
        <f t="shared" si="18"/>
        <v>0</v>
      </c>
      <c r="AD21" s="187">
        <f>AC21*Constants!$D$23</f>
        <v>0</v>
      </c>
      <c r="AE21" s="187">
        <f t="shared" si="12"/>
        <v>-268.55068121353884</v>
      </c>
      <c r="AF21" s="189">
        <f>AE21*(1+Constants!$D$20)^-H21</f>
        <v>-253.06130486534107</v>
      </c>
    </row>
    <row r="22" spans="2:35" x14ac:dyDescent="0.3">
      <c r="B22" s="287"/>
      <c r="C22" s="162" t="s">
        <v>257</v>
      </c>
      <c r="D22" s="162" t="s">
        <v>259</v>
      </c>
      <c r="H22" s="172">
        <v>4</v>
      </c>
      <c r="I22" s="186">
        <f>I21*(1-Constants!$D$11)</f>
        <v>0.98014950062500006</v>
      </c>
      <c r="J22" s="173">
        <f t="shared" si="13"/>
        <v>2454.6814090634848</v>
      </c>
      <c r="K22" s="173">
        <f t="shared" si="14"/>
        <v>3462.3801732359921</v>
      </c>
      <c r="L22" s="187">
        <f>IF(J22*'Grid Power'!K21&lt;0,0,J22*'Grid Power'!K21)</f>
        <v>341.68717912628318</v>
      </c>
      <c r="M22" s="188">
        <f>IF($C$20=5,Configurations!$F$34,IF($C$20=15,Configurations!$F$35,0))</f>
        <v>1360.3531010425304</v>
      </c>
      <c r="N22" s="188">
        <v>50</v>
      </c>
      <c r="O22" s="188">
        <v>0</v>
      </c>
      <c r="P22" s="188">
        <f>K22*'Grid Power'!L21</f>
        <v>363.86324597020734</v>
      </c>
      <c r="Q22" s="188">
        <v>0</v>
      </c>
      <c r="R22" s="187">
        <f t="shared" si="11"/>
        <v>-1388.1770341986062</v>
      </c>
      <c r="S22" s="187">
        <f>R22+'Analysis (Nothing)'!D9</f>
        <v>-232.82659085234764</v>
      </c>
      <c r="T22" s="187">
        <v>0</v>
      </c>
      <c r="U22" s="187">
        <f>V21*Configurations!$C$48</f>
        <v>1279.61295</v>
      </c>
      <c r="V22" s="187">
        <f t="shared" si="15"/>
        <v>2985.7635500000006</v>
      </c>
      <c r="W22" s="187">
        <v>0</v>
      </c>
      <c r="X22" s="187">
        <f>Y21*Configurations!$D$48</f>
        <v>128.95281</v>
      </c>
      <c r="Y22" s="187">
        <f t="shared" si="16"/>
        <v>1160.57529</v>
      </c>
      <c r="Z22" s="188">
        <v>0</v>
      </c>
      <c r="AA22" s="187">
        <f>AB21*Configurations!$E$48</f>
        <v>300.30336000000005</v>
      </c>
      <c r="AB22" s="187">
        <f t="shared" si="17"/>
        <v>1201.21344</v>
      </c>
      <c r="AC22" s="188">
        <f t="shared" si="18"/>
        <v>0</v>
      </c>
      <c r="AD22" s="187">
        <f>AC22*Constants!$D$23</f>
        <v>0</v>
      </c>
      <c r="AE22" s="187">
        <f t="shared" si="12"/>
        <v>-232.82659085234764</v>
      </c>
      <c r="AF22" s="189">
        <f>AE22*(1+Constants!$D$20)^-H22</f>
        <v>-215.09578101628802</v>
      </c>
    </row>
    <row r="23" spans="2:35" x14ac:dyDescent="0.3">
      <c r="B23" s="287"/>
      <c r="C23" s="162" t="s">
        <v>258</v>
      </c>
      <c r="D23" s="162" t="s">
        <v>260</v>
      </c>
      <c r="H23" s="172">
        <v>5</v>
      </c>
      <c r="I23" s="186">
        <f>I22*(1-Constants!$D$11)</f>
        <v>0.97524875312187509</v>
      </c>
      <c r="J23" s="173">
        <f t="shared" si="13"/>
        <v>2466.4770338082949</v>
      </c>
      <c r="K23" s="173">
        <f t="shared" si="14"/>
        <v>3445.0682723698119</v>
      </c>
      <c r="L23" s="187">
        <f>IF(J23*'Grid Power'!K22&lt;0,0,J23*'Grid Power'!K22)</f>
        <v>359.03812412903397</v>
      </c>
      <c r="M23" s="188">
        <f>IF($C$20=5,Configurations!$F$34,IF($C$20=15,Configurations!$F$35,0))</f>
        <v>1360.3531010425304</v>
      </c>
      <c r="N23" s="188">
        <v>50</v>
      </c>
      <c r="O23" s="188">
        <v>0</v>
      </c>
      <c r="P23" s="188">
        <f>K23*'Grid Power'!L22</f>
        <v>365.6643690377598</v>
      </c>
      <c r="Q23" s="188">
        <v>0</v>
      </c>
      <c r="R23" s="187">
        <f t="shared" si="11"/>
        <v>-1403.7268561338046</v>
      </c>
      <c r="S23" s="187">
        <f>R23+'Analysis (Nothing)'!D10</f>
        <v>-195.51337960501064</v>
      </c>
      <c r="T23" s="187">
        <v>0</v>
      </c>
      <c r="U23" s="187">
        <f>V22*Configurations!$C$48</f>
        <v>895.72906500000011</v>
      </c>
      <c r="V23" s="187">
        <f t="shared" si="15"/>
        <v>2090.0344850000006</v>
      </c>
      <c r="W23" s="187">
        <v>0</v>
      </c>
      <c r="X23" s="187">
        <f>Y22*Configurations!$D$48</f>
        <v>116.057529</v>
      </c>
      <c r="Y23" s="187">
        <f t="shared" si="16"/>
        <v>1044.5177610000001</v>
      </c>
      <c r="Z23" s="188">
        <v>0</v>
      </c>
      <c r="AA23" s="187">
        <f>AB22*Configurations!$E$48</f>
        <v>240.24268800000002</v>
      </c>
      <c r="AB23" s="187">
        <f t="shared" si="17"/>
        <v>960.97075199999995</v>
      </c>
      <c r="AC23" s="188">
        <f t="shared" si="18"/>
        <v>0</v>
      </c>
      <c r="AD23" s="187">
        <f>AC23*Constants!$D$23</f>
        <v>0</v>
      </c>
      <c r="AE23" s="187">
        <f t="shared" si="12"/>
        <v>-195.51337960501064</v>
      </c>
      <c r="AF23" s="189">
        <f>AE23*(1+Constants!$D$20)^-H23</f>
        <v>-177.08249164223005</v>
      </c>
    </row>
    <row r="24" spans="2:35" x14ac:dyDescent="0.3">
      <c r="H24" s="172">
        <v>6</v>
      </c>
      <c r="I24" s="186">
        <f>I23*(1-Constants!$D$11)</f>
        <v>0.97037250935626573</v>
      </c>
      <c r="J24" s="173">
        <f t="shared" si="13"/>
        <v>2478.2136804293814</v>
      </c>
      <c r="K24" s="173">
        <f t="shared" ref="K24:K38" si="19">$F$18*I24</f>
        <v>3427.8429310079632</v>
      </c>
      <c r="L24" s="187">
        <f>IF(J24*'Grid Power'!K23&lt;0,0,J24*'Grid Power'!K23)</f>
        <v>377.29552776064781</v>
      </c>
      <c r="M24" s="188">
        <f>IF($C$20=15,Configurations!$F$35,0)</f>
        <v>1360.3531010425304</v>
      </c>
      <c r="N24" s="188">
        <v>50</v>
      </c>
      <c r="O24" s="188">
        <v>0</v>
      </c>
      <c r="P24" s="188">
        <f>K24*'Grid Power'!L23</f>
        <v>367.47440766449682</v>
      </c>
      <c r="Q24" s="188">
        <v>0</v>
      </c>
      <c r="R24" s="187">
        <f t="shared" si="11"/>
        <v>-1420.1742211386816</v>
      </c>
      <c r="S24" s="187">
        <f>R24+'Analysis (Nothing)'!D11</f>
        <v>-156.53501320246164</v>
      </c>
      <c r="T24" s="187">
        <v>0</v>
      </c>
      <c r="U24" s="187">
        <f>V23*Configurations!$C$48</f>
        <v>627.0103455000002</v>
      </c>
      <c r="V24" s="187">
        <f t="shared" ref="V24:V38" si="20">V23+T24-U24</f>
        <v>1463.0241395000003</v>
      </c>
      <c r="W24" s="187">
        <v>0</v>
      </c>
      <c r="X24" s="187">
        <f>Y23*Configurations!$D$48</f>
        <v>104.45177610000002</v>
      </c>
      <c r="Y24" s="187">
        <f t="shared" ref="Y24:Y38" si="21">Y23+W24-X24</f>
        <v>940.0659849000001</v>
      </c>
      <c r="Z24" s="188">
        <v>0</v>
      </c>
      <c r="AA24" s="187">
        <f>AB23*Configurations!$E$48</f>
        <v>192.19415040000001</v>
      </c>
      <c r="AB24" s="187">
        <f t="shared" ref="AB24:AB38" si="22">AB23+Z24-AA24</f>
        <v>768.77660159999994</v>
      </c>
      <c r="AC24" s="188">
        <f t="shared" ref="AC24:AC38" si="23">IF(S24-AA24-X24-U24&lt;0, 0,S24-AA24-X24-U24)</f>
        <v>0</v>
      </c>
      <c r="AD24" s="187">
        <f>AC24*Constants!$D$23</f>
        <v>0</v>
      </c>
      <c r="AE24" s="187">
        <f t="shared" ref="AE24:AE36" si="24">S24-AD24</f>
        <v>-156.53501320246164</v>
      </c>
      <c r="AF24" s="189">
        <f>AE24*(1+Constants!$D$20)^-H24</f>
        <v>-138.99861203392368</v>
      </c>
    </row>
    <row r="25" spans="2:35" x14ac:dyDescent="0.3">
      <c r="H25" s="172">
        <v>7</v>
      </c>
      <c r="I25" s="186">
        <f>I24*(1-Constants!$D$11)</f>
        <v>0.96552064680948435</v>
      </c>
      <c r="J25" s="173">
        <f t="shared" si="13"/>
        <v>2489.8916438173628</v>
      </c>
      <c r="K25" s="173">
        <f t="shared" si="19"/>
        <v>3410.703716352923</v>
      </c>
      <c r="L25" s="187">
        <f>IF(J25*'Grid Power'!K24&lt;0,0,J25*'Grid Power'!K24)</f>
        <v>396.50745431918222</v>
      </c>
      <c r="M25" s="188">
        <f>IF($C$20=15,Configurations!$F$35,0)</f>
        <v>1360.3531010425304</v>
      </c>
      <c r="N25" s="188">
        <v>50</v>
      </c>
      <c r="O25" s="188">
        <v>0</v>
      </c>
      <c r="P25" s="188">
        <f>K25*'Grid Power'!L24</f>
        <v>369.29340598243601</v>
      </c>
      <c r="Q25" s="188">
        <v>0</v>
      </c>
      <c r="R25" s="187">
        <f t="shared" si="11"/>
        <v>-1437.5671493792765</v>
      </c>
      <c r="S25" s="187">
        <f>R25+'Analysis (Nothing)'!D12</f>
        <v>-115.81174716355372</v>
      </c>
      <c r="T25" s="187">
        <v>0</v>
      </c>
      <c r="U25" s="187">
        <f>V24*Configurations!$C$48</f>
        <v>438.90724185000005</v>
      </c>
      <c r="V25" s="187">
        <f t="shared" si="20"/>
        <v>1024.1168976500003</v>
      </c>
      <c r="W25" s="187">
        <v>0</v>
      </c>
      <c r="X25" s="187">
        <f>Y24*Configurations!$D$48</f>
        <v>94.006598490000016</v>
      </c>
      <c r="Y25" s="187">
        <f t="shared" si="21"/>
        <v>846.05938641000012</v>
      </c>
      <c r="Z25" s="188">
        <v>0</v>
      </c>
      <c r="AA25" s="187">
        <f>AB24*Configurations!$E$48</f>
        <v>153.75532032000001</v>
      </c>
      <c r="AB25" s="187">
        <f t="shared" si="22"/>
        <v>615.02128127999993</v>
      </c>
      <c r="AC25" s="188">
        <f t="shared" si="23"/>
        <v>0</v>
      </c>
      <c r="AD25" s="187">
        <f>AC25*Constants!$D$23</f>
        <v>0</v>
      </c>
      <c r="AE25" s="187">
        <f t="shared" si="24"/>
        <v>-115.81174716355372</v>
      </c>
      <c r="AF25" s="189">
        <f>AE25*(1+Constants!$D$20)^-H25</f>
        <v>-100.82109529629275</v>
      </c>
    </row>
    <row r="26" spans="2:35" x14ac:dyDescent="0.3">
      <c r="H26" s="172">
        <v>8</v>
      </c>
      <c r="I26" s="186">
        <f>I25*(1-Constants!$D$11)</f>
        <v>0.96069304357543694</v>
      </c>
      <c r="J26" s="173">
        <f t="shared" si="13"/>
        <v>2501.511217388404</v>
      </c>
      <c r="K26" s="173">
        <f t="shared" si="19"/>
        <v>3393.6501977711587</v>
      </c>
      <c r="L26" s="187">
        <f>IF(J26*'Grid Power'!K25&lt;0,0,J26*'Grid Power'!K25)</f>
        <v>416.72452703483452</v>
      </c>
      <c r="M26" s="188">
        <f>IF($C$20=15,Configurations!$F$35,0)</f>
        <v>1360.3531010425304</v>
      </c>
      <c r="N26" s="188">
        <v>50</v>
      </c>
      <c r="O26" s="188">
        <v>0</v>
      </c>
      <c r="P26" s="188">
        <f>K26*'Grid Power'!L25</f>
        <v>371.12140834204911</v>
      </c>
      <c r="Q26" s="188">
        <v>0</v>
      </c>
      <c r="R26" s="187">
        <f t="shared" si="11"/>
        <v>-1455.9562197353157</v>
      </c>
      <c r="S26" s="187">
        <f>R26+'Analysis (Nothing)'!D13</f>
        <v>-73.259944248990905</v>
      </c>
      <c r="T26" s="187">
        <v>0</v>
      </c>
      <c r="U26" s="187">
        <f>V25*Configurations!$C$48</f>
        <v>307.23506929500007</v>
      </c>
      <c r="V26" s="187">
        <f t="shared" si="20"/>
        <v>716.88182835500015</v>
      </c>
      <c r="W26" s="187">
        <v>0</v>
      </c>
      <c r="X26" s="187">
        <f>Y25*Configurations!$D$48</f>
        <v>84.605938641000023</v>
      </c>
      <c r="Y26" s="187">
        <f t="shared" si="21"/>
        <v>761.45344776900015</v>
      </c>
      <c r="Z26" s="188">
        <v>0</v>
      </c>
      <c r="AA26" s="187">
        <f>AB25*Configurations!$E$48</f>
        <v>123.00425625599999</v>
      </c>
      <c r="AB26" s="187">
        <f t="shared" si="22"/>
        <v>492.01702502399996</v>
      </c>
      <c r="AC26" s="188">
        <f t="shared" si="23"/>
        <v>0</v>
      </c>
      <c r="AD26" s="187">
        <f>AC26*Constants!$D$23</f>
        <v>0</v>
      </c>
      <c r="AE26" s="187">
        <f t="shared" si="24"/>
        <v>-73.259944248990905</v>
      </c>
      <c r="AF26" s="189">
        <f>AE26*(1+Constants!$D$20)^-H26</f>
        <v>-62.526657010438129</v>
      </c>
    </row>
    <row r="27" spans="2:35" x14ac:dyDescent="0.3">
      <c r="H27" s="172">
        <v>9</v>
      </c>
      <c r="I27" s="186">
        <f>I26*(1-Constants!$D$11)</f>
        <v>0.95588957835755972</v>
      </c>
      <c r="J27" s="173">
        <f t="shared" si="13"/>
        <v>2513.0726930915907</v>
      </c>
      <c r="K27" s="173">
        <f t="shared" si="19"/>
        <v>3376.6819467823025</v>
      </c>
      <c r="L27" s="187">
        <f>IF(J27*'Grid Power'!K26&lt;0,0,J27*'Grid Power'!K26)</f>
        <v>438.00006410701252</v>
      </c>
      <c r="M27" s="188">
        <f>IF($C$20=15,Configurations!$F$35,0)</f>
        <v>1360.3531010425304</v>
      </c>
      <c r="N27" s="188">
        <v>50</v>
      </c>
      <c r="O27" s="188">
        <v>0</v>
      </c>
      <c r="P27" s="188">
        <f>K27*'Grid Power'!L26</f>
        <v>372.95845931334219</v>
      </c>
      <c r="Q27" s="188">
        <v>0</v>
      </c>
      <c r="R27" s="187">
        <f t="shared" si="11"/>
        <v>-1475.3947058362007</v>
      </c>
      <c r="S27" s="187">
        <f>R27+'Analysis (Nothing)'!D14</f>
        <v>-28.791882891805699</v>
      </c>
      <c r="T27" s="187">
        <v>0</v>
      </c>
      <c r="U27" s="187">
        <f>V26*Configurations!$C$48</f>
        <v>215.06454850650005</v>
      </c>
      <c r="V27" s="187">
        <f t="shared" si="20"/>
        <v>501.81727984850011</v>
      </c>
      <c r="W27" s="187">
        <v>0</v>
      </c>
      <c r="X27" s="187">
        <f>Y26*Configurations!$D$48</f>
        <v>76.145344776900018</v>
      </c>
      <c r="Y27" s="187">
        <f t="shared" si="21"/>
        <v>685.30810299210009</v>
      </c>
      <c r="Z27" s="188">
        <v>0</v>
      </c>
      <c r="AA27" s="187">
        <f>AB26*Configurations!$E$48</f>
        <v>98.403405004799993</v>
      </c>
      <c r="AB27" s="187">
        <f t="shared" si="22"/>
        <v>393.61362001919997</v>
      </c>
      <c r="AC27" s="188">
        <f t="shared" si="23"/>
        <v>0</v>
      </c>
      <c r="AD27" s="187">
        <f>AC27*Constants!$D$23</f>
        <v>0</v>
      </c>
      <c r="AE27" s="187">
        <f t="shared" si="24"/>
        <v>-28.791882891805699</v>
      </c>
      <c r="AF27" s="189">
        <f>AE27*(1+Constants!$D$20)^-H27</f>
        <v>-24.091759624107326</v>
      </c>
    </row>
    <row r="28" spans="2:35" x14ac:dyDescent="0.3">
      <c r="H28" s="172">
        <v>10</v>
      </c>
      <c r="I28" s="186">
        <f>I27*(1-Constants!$D$11)</f>
        <v>0.95111013046577186</v>
      </c>
      <c r="J28" s="173">
        <f t="shared" si="13"/>
        <v>2524.5763614162606</v>
      </c>
      <c r="K28" s="173">
        <f t="shared" si="19"/>
        <v>3359.7985370483907</v>
      </c>
      <c r="L28" s="187">
        <f>IF(J28*'Grid Power'!K27&lt;0,0,J28*'Grid Power'!K27)</f>
        <v>460.39022194712499</v>
      </c>
      <c r="M28" s="188">
        <f>IF($C$20=15,Configurations!$F$35,0)</f>
        <v>1360.3531010425304</v>
      </c>
      <c r="N28" s="188">
        <v>50</v>
      </c>
      <c r="O28" s="188">
        <f>Configurations!$D$39+Configurations!$D$41</f>
        <v>6330.8</v>
      </c>
      <c r="P28" s="188">
        <f>K28*'Grid Power'!L27</f>
        <v>374.80460368694321</v>
      </c>
      <c r="Q28" s="188">
        <v>0</v>
      </c>
      <c r="R28" s="187">
        <f t="shared" si="11"/>
        <v>-7826.7387193027116</v>
      </c>
      <c r="S28" s="187">
        <f>R28+'Analysis (Nothing)'!D15</f>
        <v>-6313.115556156903</v>
      </c>
      <c r="T28" s="187">
        <f>Configurations!$D$39/2</f>
        <v>1862</v>
      </c>
      <c r="U28" s="187">
        <f>V27*Configurations!$C$48</f>
        <v>150.54518395455003</v>
      </c>
      <c r="V28" s="187">
        <f t="shared" si="20"/>
        <v>2213.2720958939503</v>
      </c>
      <c r="W28" s="187">
        <v>0</v>
      </c>
      <c r="X28" s="187">
        <f>Y27*Configurations!$D$48</f>
        <v>68.530810299210017</v>
      </c>
      <c r="Y28" s="187">
        <f t="shared" si="21"/>
        <v>616.77729269289011</v>
      </c>
      <c r="Z28" s="188">
        <f>Configurations!$D$41/2</f>
        <v>1303.4000000000001</v>
      </c>
      <c r="AA28" s="187">
        <f>AB27*Configurations!$E$48</f>
        <v>78.72272400384</v>
      </c>
      <c r="AB28" s="187">
        <f t="shared" si="22"/>
        <v>1618.29089601536</v>
      </c>
      <c r="AC28" s="188">
        <f t="shared" si="23"/>
        <v>0</v>
      </c>
      <c r="AD28" s="187">
        <f>AC28*Constants!$D$23</f>
        <v>0</v>
      </c>
      <c r="AE28" s="187">
        <f t="shared" si="24"/>
        <v>-6313.115556156903</v>
      </c>
      <c r="AF28" s="189">
        <f>AE28*(1+Constants!$D$20)^-H28</f>
        <v>-5178.9536134087111</v>
      </c>
    </row>
    <row r="29" spans="2:35" x14ac:dyDescent="0.3">
      <c r="H29" s="172">
        <v>11</v>
      </c>
      <c r="I29" s="186">
        <f>I28*(1-Constants!$D$11)</f>
        <v>0.94635457981344295</v>
      </c>
      <c r="J29" s="173">
        <f t="shared" si="13"/>
        <v>2536.0225113993074</v>
      </c>
      <c r="K29" s="173">
        <f t="shared" si="19"/>
        <v>3342.9995443631487</v>
      </c>
      <c r="L29" s="187">
        <f>IF(J29*'Grid Power'!K28&lt;0,0,J29*'Grid Power'!K28)</f>
        <v>483.95414600719187</v>
      </c>
      <c r="M29" s="188">
        <f>IF($C$20=15,Configurations!$F$35,0)</f>
        <v>1360.3531010425304</v>
      </c>
      <c r="N29" s="188">
        <v>50</v>
      </c>
      <c r="O29" s="188">
        <v>0</v>
      </c>
      <c r="P29" s="188">
        <f>K29*'Grid Power'!L28</f>
        <v>376.65988647519362</v>
      </c>
      <c r="Q29" s="188">
        <v>0</v>
      </c>
      <c r="R29" s="187">
        <f t="shared" si="11"/>
        <v>-1517.6473605745286</v>
      </c>
      <c r="S29" s="187">
        <f>R29+'Analysis (Nothing)'!D16</f>
        <v>66.265539240052476</v>
      </c>
      <c r="T29" s="187">
        <f>Configurations!$D$39/2</f>
        <v>1862</v>
      </c>
      <c r="U29" s="187">
        <f>V28*Configurations!$C$48</f>
        <v>663.98162876818503</v>
      </c>
      <c r="V29" s="187">
        <f t="shared" si="20"/>
        <v>3411.2904671257652</v>
      </c>
      <c r="W29" s="187">
        <v>0</v>
      </c>
      <c r="X29" s="187">
        <f>Y28*Configurations!$D$48</f>
        <v>61.677729269289017</v>
      </c>
      <c r="Y29" s="187">
        <f t="shared" si="21"/>
        <v>555.09956342360113</v>
      </c>
      <c r="Z29" s="188">
        <f>Configurations!$D$41/2</f>
        <v>1303.4000000000001</v>
      </c>
      <c r="AA29" s="187">
        <f>AB28*Configurations!$E$48</f>
        <v>323.658179203072</v>
      </c>
      <c r="AB29" s="187">
        <f t="shared" si="22"/>
        <v>2598.0327168122881</v>
      </c>
      <c r="AC29" s="188">
        <f t="shared" si="23"/>
        <v>0</v>
      </c>
      <c r="AD29" s="187">
        <f>AC29*Constants!$D$23</f>
        <v>0</v>
      </c>
      <c r="AE29" s="187">
        <f t="shared" si="24"/>
        <v>66.265539240052476</v>
      </c>
      <c r="AF29" s="189">
        <f>AE29*(1+Constants!$D$20)^-H29</f>
        <v>53.294923976360245</v>
      </c>
    </row>
    <row r="30" spans="2:35" x14ac:dyDescent="0.3">
      <c r="H30" s="172">
        <v>12</v>
      </c>
      <c r="I30" s="186">
        <f>I29*(1-Constants!$D$11)</f>
        <v>0.94162280691437572</v>
      </c>
      <c r="J30" s="173">
        <f t="shared" si="13"/>
        <v>2547.4114306324391</v>
      </c>
      <c r="K30" s="173">
        <f t="shared" si="19"/>
        <v>3326.2845466413328</v>
      </c>
      <c r="L30" s="187">
        <f>IF(J30*'Grid Power'!K29&lt;0,0,J30*'Grid Power'!K29)</f>
        <v>508.75412959433044</v>
      </c>
      <c r="M30" s="188">
        <f>IF($C$20=15,Configurations!$F$35,0)</f>
        <v>1360.3531010425304</v>
      </c>
      <c r="N30" s="188">
        <v>50</v>
      </c>
      <c r="O30" s="188">
        <v>0</v>
      </c>
      <c r="P30" s="188">
        <f>K30*'Grid Power'!L29</f>
        <v>378.52435291324576</v>
      </c>
      <c r="Q30" s="188">
        <v>0</v>
      </c>
      <c r="R30" s="187">
        <f t="shared" si="11"/>
        <v>-1540.582877723615</v>
      </c>
      <c r="S30" s="187">
        <f>R30+'Analysis (Nothing)'!D17</f>
        <v>117.05262434751035</v>
      </c>
      <c r="T30" s="187">
        <v>0</v>
      </c>
      <c r="U30" s="187">
        <f>V29*Configurations!$C$48</f>
        <v>1023.3871401377295</v>
      </c>
      <c r="V30" s="187">
        <f t="shared" si="20"/>
        <v>2387.9033269880356</v>
      </c>
      <c r="W30" s="187">
        <v>0</v>
      </c>
      <c r="X30" s="187">
        <f>Y29*Configurations!$D$48</f>
        <v>55.509956342360113</v>
      </c>
      <c r="Y30" s="187">
        <f t="shared" si="21"/>
        <v>499.58960708124101</v>
      </c>
      <c r="Z30" s="188">
        <v>0</v>
      </c>
      <c r="AA30" s="187">
        <f>AB29*Configurations!$E$48</f>
        <v>519.60654336245761</v>
      </c>
      <c r="AB30" s="187">
        <f t="shared" si="22"/>
        <v>2078.4261734498305</v>
      </c>
      <c r="AC30" s="188">
        <f t="shared" si="23"/>
        <v>0</v>
      </c>
      <c r="AD30" s="187">
        <f>AC30*Constants!$D$23</f>
        <v>0</v>
      </c>
      <c r="AE30" s="187">
        <f t="shared" si="24"/>
        <v>117.05262434751035</v>
      </c>
      <c r="AF30" s="189">
        <f>AE30*(1+Constants!$D$20)^-H30</f>
        <v>92.295195481935153</v>
      </c>
    </row>
    <row r="31" spans="2:35" x14ac:dyDescent="0.3">
      <c r="H31" s="172">
        <v>13</v>
      </c>
      <c r="I31" s="186">
        <f>I30*(1-Constants!$D$11)</f>
        <v>0.93691469287980389</v>
      </c>
      <c r="J31" s="173">
        <f t="shared" si="13"/>
        <v>2558.7434052694043</v>
      </c>
      <c r="K31" s="173">
        <f t="shared" si="19"/>
        <v>3309.6531239081264</v>
      </c>
      <c r="L31" s="187">
        <f>IF(J31*'Grid Power'!K30&lt;0,0,J31*'Grid Power'!K30)</f>
        <v>534.85578109219841</v>
      </c>
      <c r="M31" s="188">
        <f>IF($C$20=15,Configurations!$F$35,0)</f>
        <v>1360.3531010425304</v>
      </c>
      <c r="N31" s="188">
        <v>50</v>
      </c>
      <c r="O31" s="188">
        <v>0</v>
      </c>
      <c r="P31" s="188">
        <f>K31*'Grid Power'!L30</f>
        <v>380.39804846016636</v>
      </c>
      <c r="Q31" s="188">
        <v>0</v>
      </c>
      <c r="R31" s="187">
        <f t="shared" si="11"/>
        <v>-1564.8108336745624</v>
      </c>
      <c r="S31" s="187">
        <f>R31+'Analysis (Nothing)'!D18</f>
        <v>170.15187034424252</v>
      </c>
      <c r="T31" s="187">
        <v>0</v>
      </c>
      <c r="U31" s="187">
        <f>V30*Configurations!$C$48</f>
        <v>716.37099809641063</v>
      </c>
      <c r="V31" s="187">
        <f t="shared" si="20"/>
        <v>1671.532328891625</v>
      </c>
      <c r="W31" s="187">
        <v>0</v>
      </c>
      <c r="X31" s="187">
        <f>Y30*Configurations!$D$48</f>
        <v>49.958960708124103</v>
      </c>
      <c r="Y31" s="187">
        <f t="shared" si="21"/>
        <v>449.63064637311692</v>
      </c>
      <c r="Z31" s="188">
        <v>0</v>
      </c>
      <c r="AA31" s="187">
        <f>AB30*Configurations!$E$48</f>
        <v>415.68523468996614</v>
      </c>
      <c r="AB31" s="187">
        <f t="shared" si="22"/>
        <v>1662.7409387598643</v>
      </c>
      <c r="AC31" s="188">
        <f t="shared" si="23"/>
        <v>0</v>
      </c>
      <c r="AD31" s="187">
        <f>AC31*Constants!$D$23</f>
        <v>0</v>
      </c>
      <c r="AE31" s="187">
        <f t="shared" si="24"/>
        <v>170.15187034424252</v>
      </c>
      <c r="AF31" s="189">
        <f>AE31*(1+Constants!$D$20)^-H31</f>
        <v>131.53292997930399</v>
      </c>
    </row>
    <row r="32" spans="2:35" x14ac:dyDescent="0.3">
      <c r="H32" s="172">
        <v>14</v>
      </c>
      <c r="I32" s="186">
        <f>I31*(1-Constants!$D$11)</f>
        <v>0.9322301194154049</v>
      </c>
      <c r="J32" s="173">
        <f t="shared" si="13"/>
        <v>2570.0187200331861</v>
      </c>
      <c r="K32" s="173">
        <f t="shared" si="19"/>
        <v>3293.104858288586</v>
      </c>
      <c r="L32" s="187">
        <f>IF(J32*'Grid Power'!K31&lt;0,0,J32*'Grid Power'!K31)</f>
        <v>562.32820003258837</v>
      </c>
      <c r="M32" s="188">
        <f>IF($C$20=15,Configurations!$F$35,0)</f>
        <v>1360.3531010425304</v>
      </c>
      <c r="N32" s="188">
        <v>50</v>
      </c>
      <c r="O32" s="188">
        <v>0</v>
      </c>
      <c r="P32" s="188">
        <f>K32*'Grid Power'!L31</f>
        <v>382.28101880004425</v>
      </c>
      <c r="Q32" s="188">
        <v>0</v>
      </c>
      <c r="R32" s="187">
        <f t="shared" si="11"/>
        <v>-1590.4002822750747</v>
      </c>
      <c r="S32" s="187">
        <f>R32+'Analysis (Nothing)'!D19</f>
        <v>225.67464240026652</v>
      </c>
      <c r="T32" s="187">
        <v>0</v>
      </c>
      <c r="U32" s="187">
        <f>V31*Configurations!$C$48</f>
        <v>501.45969866748749</v>
      </c>
      <c r="V32" s="187">
        <f t="shared" si="20"/>
        <v>1170.0726302241374</v>
      </c>
      <c r="W32" s="187">
        <v>0</v>
      </c>
      <c r="X32" s="187">
        <f>Y31*Configurations!$D$48</f>
        <v>44.963064637311696</v>
      </c>
      <c r="Y32" s="187">
        <f t="shared" si="21"/>
        <v>404.66758173580524</v>
      </c>
      <c r="Z32" s="188">
        <v>0</v>
      </c>
      <c r="AA32" s="187">
        <f>AB31*Configurations!$E$48</f>
        <v>332.54818775197288</v>
      </c>
      <c r="AB32" s="187">
        <f t="shared" si="22"/>
        <v>1330.1927510078915</v>
      </c>
      <c r="AC32" s="188">
        <f t="shared" si="23"/>
        <v>0</v>
      </c>
      <c r="AD32" s="187">
        <f>AC32*Constants!$D$23</f>
        <v>0</v>
      </c>
      <c r="AE32" s="187">
        <f t="shared" si="24"/>
        <v>225.67464240026652</v>
      </c>
      <c r="AF32" s="189">
        <f>AE32*(1+Constants!$D$20)^-H32</f>
        <v>171.03317515805543</v>
      </c>
    </row>
    <row r="33" spans="8:35" x14ac:dyDescent="0.3">
      <c r="H33" s="172">
        <v>15</v>
      </c>
      <c r="I33" s="186">
        <f>I32*(1-Constants!$D$11)</f>
        <v>0.92756896881832784</v>
      </c>
      <c r="J33" s="173">
        <f t="shared" si="13"/>
        <v>2581.2376582231482</v>
      </c>
      <c r="K33" s="173">
        <f t="shared" si="19"/>
        <v>3276.6393339971428</v>
      </c>
      <c r="L33" s="187">
        <f>IF(J33*'Grid Power'!K32&lt;0,0,J33*'Grid Power'!K32)</f>
        <v>591.24416248363184</v>
      </c>
      <c r="M33" s="188">
        <f>IF($C$20=15,Configurations!$F$35,0)</f>
        <v>1360.3531010425304</v>
      </c>
      <c r="N33" s="188">
        <v>50</v>
      </c>
      <c r="O33" s="188">
        <v>0</v>
      </c>
      <c r="P33" s="188">
        <f>K33*'Grid Power'!L32</f>
        <v>384.17330984310445</v>
      </c>
      <c r="Q33" s="188">
        <v>0</v>
      </c>
      <c r="R33" s="187">
        <f t="shared" si="11"/>
        <v>-1617.4239536830578</v>
      </c>
      <c r="S33" s="187">
        <f>R33+'Analysis (Nothing)'!D20</f>
        <v>283.73775560283821</v>
      </c>
      <c r="T33" s="187">
        <v>0</v>
      </c>
      <c r="U33" s="187">
        <f>V32*Configurations!$C$48</f>
        <v>351.02178906724117</v>
      </c>
      <c r="V33" s="187">
        <f t="shared" si="20"/>
        <v>819.05084115689624</v>
      </c>
      <c r="W33" s="187">
        <v>0</v>
      </c>
      <c r="X33" s="187">
        <f>Y32*Configurations!$D$48</f>
        <v>40.46675817358053</v>
      </c>
      <c r="Y33" s="187">
        <f t="shared" si="21"/>
        <v>364.20082356222474</v>
      </c>
      <c r="Z33" s="188">
        <v>0</v>
      </c>
      <c r="AA33" s="187">
        <f>AB32*Configurations!$E$48</f>
        <v>266.03855020157829</v>
      </c>
      <c r="AB33" s="187">
        <f t="shared" si="22"/>
        <v>1064.1542008063132</v>
      </c>
      <c r="AC33" s="188">
        <f t="shared" si="23"/>
        <v>0</v>
      </c>
      <c r="AD33" s="187">
        <f>AC33*Constants!$D$23</f>
        <v>0</v>
      </c>
      <c r="AE33" s="187">
        <f t="shared" si="24"/>
        <v>283.73775560283821</v>
      </c>
      <c r="AF33" s="189">
        <f>AE33*(1+Constants!$D$20)^-H33</f>
        <v>210.8213318667913</v>
      </c>
    </row>
    <row r="34" spans="8:35" x14ac:dyDescent="0.3">
      <c r="H34" s="172">
        <v>16</v>
      </c>
      <c r="I34" s="186">
        <f>I33*(1-Constants!$D$11)</f>
        <v>0.92293112397423616</v>
      </c>
      <c r="J34" s="173">
        <f t="shared" si="13"/>
        <v>2592.4005017221602</v>
      </c>
      <c r="K34" s="173">
        <f t="shared" si="19"/>
        <v>3260.2561373271569</v>
      </c>
      <c r="L34" s="187">
        <f>IF(J34*'Grid Power'!K33&lt;0,0,J34*'Grid Power'!K33)</f>
        <v>621.68031624557182</v>
      </c>
      <c r="M34" s="188">
        <v>0</v>
      </c>
      <c r="N34" s="188">
        <v>50</v>
      </c>
      <c r="O34" s="188">
        <v>0</v>
      </c>
      <c r="P34" s="188">
        <f>K34*'Grid Power'!L33</f>
        <v>386.07496772682777</v>
      </c>
      <c r="Q34" s="188">
        <v>0</v>
      </c>
      <c r="R34" s="187">
        <f t="shared" si="11"/>
        <v>-285.60534851874405</v>
      </c>
      <c r="S34" s="187">
        <f>R34+'Analysis (Nothing)'!D21</f>
        <v>1704.8168445887909</v>
      </c>
      <c r="T34" s="187">
        <v>0</v>
      </c>
      <c r="U34" s="187">
        <f>V33*Configurations!$C$48</f>
        <v>245.71525234706885</v>
      </c>
      <c r="V34" s="187">
        <f t="shared" si="20"/>
        <v>573.33558880982741</v>
      </c>
      <c r="W34" s="187">
        <v>0</v>
      </c>
      <c r="X34" s="187">
        <f>Y33*Configurations!$D$48</f>
        <v>36.420082356222473</v>
      </c>
      <c r="Y34" s="187">
        <f t="shared" si="21"/>
        <v>327.78074120600229</v>
      </c>
      <c r="Z34" s="188">
        <v>0</v>
      </c>
      <c r="AA34" s="187">
        <f>AB33*Configurations!$E$48</f>
        <v>212.83084016126264</v>
      </c>
      <c r="AB34" s="187">
        <f t="shared" si="22"/>
        <v>851.32336064505057</v>
      </c>
      <c r="AC34" s="188">
        <f t="shared" si="23"/>
        <v>1209.8506697242369</v>
      </c>
      <c r="AD34" s="187">
        <f>AC34*Constants!$D$23</f>
        <v>120.9850669724237</v>
      </c>
      <c r="AE34" s="187">
        <f t="shared" si="24"/>
        <v>1583.8317776163672</v>
      </c>
      <c r="AF34" s="189">
        <f>AE34*(1+Constants!$D$20)^-H34</f>
        <v>1153.7356280322169</v>
      </c>
    </row>
    <row r="35" spans="8:35" x14ac:dyDescent="0.3">
      <c r="H35" s="172">
        <v>17</v>
      </c>
      <c r="I35" s="186">
        <f>I34*(1-Constants!$D$11)</f>
        <v>0.91831646835436498</v>
      </c>
      <c r="J35" s="173">
        <f t="shared" si="13"/>
        <v>2603.5075310036777</v>
      </c>
      <c r="K35" s="173">
        <f t="shared" si="19"/>
        <v>3243.954856640521</v>
      </c>
      <c r="L35" s="187">
        <f>IF(J35*'Grid Power'!K34&lt;0,0,J35*'Grid Power'!K34)</f>
        <v>653.71738637082717</v>
      </c>
      <c r="M35" s="188">
        <v>0</v>
      </c>
      <c r="N35" s="188">
        <v>50</v>
      </c>
      <c r="O35" s="188">
        <v>0</v>
      </c>
      <c r="P35" s="188">
        <f>K35*'Grid Power'!L34</f>
        <v>387.98603881707555</v>
      </c>
      <c r="Q35" s="188">
        <v>0</v>
      </c>
      <c r="R35" s="187">
        <f t="shared" si="11"/>
        <v>-315.73134755375162</v>
      </c>
      <c r="S35" s="187">
        <f>R35+'Analysis (Nothing)'!D22</f>
        <v>1768.3342412565835</v>
      </c>
      <c r="T35" s="187">
        <v>0</v>
      </c>
      <c r="U35" s="187">
        <f>V34*Configurations!$C$48</f>
        <v>172.00067664294821</v>
      </c>
      <c r="V35" s="187">
        <f t="shared" si="20"/>
        <v>401.33491216687923</v>
      </c>
      <c r="W35" s="187">
        <v>0</v>
      </c>
      <c r="X35" s="187">
        <f>Y34*Configurations!$D$48</f>
        <v>32.77807412060023</v>
      </c>
      <c r="Y35" s="187">
        <f t="shared" si="21"/>
        <v>295.00266708540204</v>
      </c>
      <c r="Z35" s="188">
        <v>0</v>
      </c>
      <c r="AA35" s="187">
        <f>AB34*Configurations!$E$48</f>
        <v>170.26467212901014</v>
      </c>
      <c r="AB35" s="187">
        <f t="shared" si="22"/>
        <v>681.05868851604043</v>
      </c>
      <c r="AC35" s="188">
        <f t="shared" si="23"/>
        <v>1393.2908183640247</v>
      </c>
      <c r="AD35" s="187">
        <f>AC35*Constants!$D$23</f>
        <v>139.32908183640248</v>
      </c>
      <c r="AE35" s="187">
        <f t="shared" si="24"/>
        <v>1629.0051594201809</v>
      </c>
      <c r="AF35" s="189">
        <f>AE35*(1+Constants!$D$20)^-H35</f>
        <v>1163.3744989201175</v>
      </c>
      <c r="AG35" s="196"/>
      <c r="AH35" s="196"/>
    </row>
    <row r="36" spans="8:35" x14ac:dyDescent="0.3">
      <c r="H36" s="172">
        <v>18</v>
      </c>
      <c r="I36" s="186">
        <f>I35*(1-Constants!$D$11)</f>
        <v>0.91372488601259316</v>
      </c>
      <c r="J36" s="173">
        <f t="shared" si="13"/>
        <v>2614.5590251387871</v>
      </c>
      <c r="K36" s="173">
        <f t="shared" si="19"/>
        <v>3227.7350823573188</v>
      </c>
      <c r="L36" s="187">
        <f>IF(J36*'Grid Power'!K35&lt;0,0,J36*'Grid Power'!K35)</f>
        <v>687.44039155218934</v>
      </c>
      <c r="M36" s="188">
        <v>0</v>
      </c>
      <c r="N36" s="188">
        <v>50</v>
      </c>
      <c r="O36" s="188">
        <v>0</v>
      </c>
      <c r="P36" s="188">
        <f>K36*'Grid Power'!L35</f>
        <v>389.90656970922015</v>
      </c>
      <c r="Q36" s="188">
        <v>0</v>
      </c>
      <c r="R36" s="187">
        <f t="shared" si="11"/>
        <v>-347.53382184296919</v>
      </c>
      <c r="S36" s="187">
        <f>R36+'Analysis (Nothing)'!D23</f>
        <v>1834.7778768558037</v>
      </c>
      <c r="T36" s="187">
        <v>0</v>
      </c>
      <c r="U36" s="187">
        <f>V35*Configurations!$C$48</f>
        <v>120.40047365006376</v>
      </c>
      <c r="V36" s="187">
        <f t="shared" si="20"/>
        <v>280.93443851681548</v>
      </c>
      <c r="W36" s="187">
        <v>0</v>
      </c>
      <c r="X36" s="187">
        <f>Y35*Configurations!$D$48</f>
        <v>29.500266708540206</v>
      </c>
      <c r="Y36" s="187">
        <f t="shared" si="21"/>
        <v>265.50240037686183</v>
      </c>
      <c r="Z36" s="188">
        <v>0</v>
      </c>
      <c r="AA36" s="187">
        <f>AB35*Configurations!$E$48</f>
        <v>136.21173770320809</v>
      </c>
      <c r="AB36" s="187">
        <f t="shared" si="22"/>
        <v>544.84695081283235</v>
      </c>
      <c r="AC36" s="188">
        <f t="shared" si="23"/>
        <v>1548.6653987939915</v>
      </c>
      <c r="AD36" s="187">
        <f>AC36*Constants!$D$23</f>
        <v>154.86653987939917</v>
      </c>
      <c r="AE36" s="187">
        <f t="shared" si="24"/>
        <v>1679.9113369764045</v>
      </c>
      <c r="AF36" s="189">
        <f>AE36*(1+Constants!$D$20)^-H36</f>
        <v>1176.205671695064</v>
      </c>
      <c r="AG36" s="196"/>
      <c r="AH36" s="196"/>
    </row>
    <row r="37" spans="8:35" x14ac:dyDescent="0.3">
      <c r="H37" s="172">
        <v>19</v>
      </c>
      <c r="I37" s="186">
        <f>I36*(1-Constants!$D$11)</f>
        <v>0.90915626158253016</v>
      </c>
      <c r="J37" s="173">
        <f t="shared" si="13"/>
        <v>2625.5552618032216</v>
      </c>
      <c r="K37" s="173">
        <f t="shared" si="19"/>
        <v>3211.5964069455317</v>
      </c>
      <c r="L37" s="187">
        <f>IF(J37*'Grid Power'!K36&lt;0,0,J37*'Grid Power'!K36)</f>
        <v>722.93887195153593</v>
      </c>
      <c r="M37" s="188">
        <v>0</v>
      </c>
      <c r="N37" s="188">
        <v>50</v>
      </c>
      <c r="O37" s="188">
        <v>0</v>
      </c>
      <c r="P37" s="188">
        <f>K37*'Grid Power'!L36</f>
        <v>391.83660722928073</v>
      </c>
      <c r="Q37" s="188">
        <v>0</v>
      </c>
      <c r="R37" s="187">
        <f t="shared" si="11"/>
        <v>-381.1022647222552</v>
      </c>
      <c r="S37" s="187">
        <f>R37+'Analysis (Nothing)'!D24</f>
        <v>1904.2891882961662</v>
      </c>
      <c r="T37" s="187">
        <v>0</v>
      </c>
      <c r="U37" s="187">
        <f>V36*Configurations!$C$48</f>
        <v>84.28033155504464</v>
      </c>
      <c r="V37" s="187">
        <f t="shared" si="20"/>
        <v>196.65410696177082</v>
      </c>
      <c r="W37" s="187">
        <v>0</v>
      </c>
      <c r="X37" s="187">
        <f>Y36*Configurations!$D$48</f>
        <v>26.550240037686184</v>
      </c>
      <c r="Y37" s="187">
        <f t="shared" si="21"/>
        <v>238.95216033917563</v>
      </c>
      <c r="Z37" s="188">
        <v>0</v>
      </c>
      <c r="AA37" s="187">
        <f>AB36*Configurations!$E$48</f>
        <v>108.96939016256647</v>
      </c>
      <c r="AB37" s="187">
        <f t="shared" si="22"/>
        <v>435.87756065026588</v>
      </c>
      <c r="AC37" s="188">
        <f t="shared" si="23"/>
        <v>1684.4892265408691</v>
      </c>
      <c r="AD37" s="187">
        <f>AC37*Constants!$D$23</f>
        <v>168.44892265408691</v>
      </c>
      <c r="AE37" s="187">
        <f>S37-AD37</f>
        <v>1735.8402656420794</v>
      </c>
      <c r="AF37" s="189">
        <f>AE37*(1+Constants!$D$20)^-H37</f>
        <v>1191.5341523844313</v>
      </c>
      <c r="AG37" s="196"/>
      <c r="AH37" s="196"/>
    </row>
    <row r="38" spans="8:35" x14ac:dyDescent="0.3">
      <c r="H38" s="190">
        <v>20</v>
      </c>
      <c r="I38" s="191">
        <f>I37*(1-Constants!$D$11)</f>
        <v>0.90461048027461755</v>
      </c>
      <c r="J38" s="192">
        <f t="shared" si="13"/>
        <v>2636.4965172843335</v>
      </c>
      <c r="K38" s="192">
        <f t="shared" si="19"/>
        <v>3195.5384249108042</v>
      </c>
      <c r="L38" s="193">
        <f>IF(J38*'Grid Power'!K37&lt;0,0,J38*'Grid Power'!K37)</f>
        <v>760.30712907146733</v>
      </c>
      <c r="M38" s="194">
        <v>0</v>
      </c>
      <c r="N38" s="194">
        <v>50</v>
      </c>
      <c r="O38" s="194">
        <v>0</v>
      </c>
      <c r="P38" s="194">
        <f>K38*'Grid Power'!L37</f>
        <v>393.77619843506568</v>
      </c>
      <c r="Q38" s="194">
        <f>V38+Y38+AB38</f>
        <v>701.41686769871035</v>
      </c>
      <c r="R38" s="193">
        <f t="shared" si="11"/>
        <v>284.8859370623087</v>
      </c>
      <c r="S38" s="193">
        <f>R38+'Analysis (Nothing)'!D25</f>
        <v>2678.4334127397728</v>
      </c>
      <c r="T38" s="193">
        <v>0</v>
      </c>
      <c r="U38" s="193">
        <f>V37*Configurations!$C$48</f>
        <v>58.996232088531244</v>
      </c>
      <c r="V38" s="193">
        <f t="shared" si="20"/>
        <v>137.65787487323956</v>
      </c>
      <c r="W38" s="193">
        <v>0</v>
      </c>
      <c r="X38" s="193">
        <f>Y37*Configurations!$D$48</f>
        <v>23.895216033917563</v>
      </c>
      <c r="Y38" s="193">
        <f t="shared" si="21"/>
        <v>215.05694430525807</v>
      </c>
      <c r="Z38" s="194">
        <v>0</v>
      </c>
      <c r="AA38" s="193">
        <f>AB37*Configurations!$E$48</f>
        <v>87.175512130053178</v>
      </c>
      <c r="AB38" s="193">
        <f t="shared" si="22"/>
        <v>348.70204852021271</v>
      </c>
      <c r="AC38" s="194">
        <f t="shared" si="23"/>
        <v>2508.3664524872711</v>
      </c>
      <c r="AD38" s="193">
        <f>AC38*Constants!$D$23</f>
        <v>250.83664524872711</v>
      </c>
      <c r="AE38" s="193">
        <f>S38-AD38</f>
        <v>2427.5967674910457</v>
      </c>
      <c r="AF38" s="195">
        <f>AE38*(1+Constants!$D$20)^-H38</f>
        <v>1633.7030328672608</v>
      </c>
      <c r="AG38" s="196"/>
      <c r="AH38" s="196"/>
    </row>
    <row r="39" spans="8:35" x14ac:dyDescent="0.3">
      <c r="H39" s="196"/>
      <c r="I39" s="186"/>
      <c r="J39" s="173"/>
      <c r="K39" s="173"/>
      <c r="L39" s="187"/>
      <c r="M39" s="188"/>
      <c r="N39" s="188"/>
      <c r="O39" s="188"/>
      <c r="P39" s="188"/>
      <c r="Q39" s="188"/>
      <c r="R39" s="187"/>
      <c r="S39" s="187"/>
      <c r="T39" s="187"/>
      <c r="U39" s="187"/>
      <c r="V39" s="187"/>
      <c r="W39" s="187"/>
      <c r="X39" s="187"/>
      <c r="Y39" s="187"/>
      <c r="Z39" s="188"/>
      <c r="AA39" s="187"/>
      <c r="AB39" s="187"/>
      <c r="AC39" s="188"/>
      <c r="AD39" s="187"/>
      <c r="AE39" s="187"/>
      <c r="AF39" s="188"/>
      <c r="AG39" s="196"/>
      <c r="AH39" s="196"/>
    </row>
    <row r="40" spans="8:35" x14ac:dyDescent="0.3">
      <c r="H40" s="290" t="s">
        <v>201</v>
      </c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196"/>
      <c r="AH40" s="166" t="s">
        <v>192</v>
      </c>
      <c r="AI40" s="167">
        <f>IRR(AE44:AE84)</f>
        <v>0.10051325679576517</v>
      </c>
    </row>
    <row r="41" spans="8:35" x14ac:dyDescent="0.3">
      <c r="H41" s="290" t="s">
        <v>56</v>
      </c>
      <c r="I41" s="284" t="s">
        <v>116</v>
      </c>
      <c r="J41" s="285"/>
      <c r="K41" s="286"/>
      <c r="L41" s="284" t="s">
        <v>6</v>
      </c>
      <c r="M41" s="285"/>
      <c r="N41" s="285"/>
      <c r="O41" s="286"/>
      <c r="P41" s="285"/>
      <c r="Q41" s="286"/>
      <c r="R41" s="284" t="s">
        <v>172</v>
      </c>
      <c r="S41" s="286"/>
      <c r="T41" s="284" t="s">
        <v>227</v>
      </c>
      <c r="U41" s="285"/>
      <c r="V41" s="286"/>
      <c r="W41" s="284" t="s">
        <v>228</v>
      </c>
      <c r="X41" s="285"/>
      <c r="Y41" s="286"/>
      <c r="Z41" s="284" t="s">
        <v>245</v>
      </c>
      <c r="AA41" s="285"/>
      <c r="AB41" s="286"/>
      <c r="AC41" s="164"/>
      <c r="AD41" s="164"/>
      <c r="AE41" s="290" t="s">
        <v>195</v>
      </c>
      <c r="AF41" s="290"/>
      <c r="AG41" s="196"/>
      <c r="AH41" s="166" t="s">
        <v>193</v>
      </c>
      <c r="AI41" s="171">
        <f>IRR(AF44:AF84)</f>
        <v>7.8934565486044272E-2</v>
      </c>
    </row>
    <row r="42" spans="8:35" x14ac:dyDescent="0.3">
      <c r="H42" s="290"/>
      <c r="I42" s="288" t="s">
        <v>152</v>
      </c>
      <c r="J42" s="170" t="s">
        <v>168</v>
      </c>
      <c r="K42" s="170" t="s">
        <v>241</v>
      </c>
      <c r="L42" s="170" t="s">
        <v>160</v>
      </c>
      <c r="M42" s="170" t="s">
        <v>139</v>
      </c>
      <c r="N42" s="170" t="s">
        <v>162</v>
      </c>
      <c r="O42" s="170" t="s">
        <v>224</v>
      </c>
      <c r="P42" s="170" t="s">
        <v>163</v>
      </c>
      <c r="Q42" s="170" t="s">
        <v>146</v>
      </c>
      <c r="R42" s="170" t="s">
        <v>172</v>
      </c>
      <c r="S42" s="170" t="s">
        <v>175</v>
      </c>
      <c r="T42" s="170" t="str">
        <f>"+CCA"</f>
        <v>+CCA</v>
      </c>
      <c r="U42" s="170" t="s">
        <v>8</v>
      </c>
      <c r="V42" s="170" t="s">
        <v>229</v>
      </c>
      <c r="W42" s="170" t="str">
        <f>"+CCA"</f>
        <v>+CCA</v>
      </c>
      <c r="X42" s="170" t="s">
        <v>8</v>
      </c>
      <c r="Y42" s="170" t="s">
        <v>229</v>
      </c>
      <c r="Z42" s="170" t="str">
        <f>"+CCA"</f>
        <v>+CCA</v>
      </c>
      <c r="AA42" s="170" t="s">
        <v>8</v>
      </c>
      <c r="AB42" s="170" t="s">
        <v>229</v>
      </c>
      <c r="AC42" s="170" t="s">
        <v>170</v>
      </c>
      <c r="AD42" s="170" t="s">
        <v>173</v>
      </c>
      <c r="AE42" s="170" t="s">
        <v>194</v>
      </c>
      <c r="AF42" s="170" t="s">
        <v>194</v>
      </c>
      <c r="AG42" s="196"/>
      <c r="AH42" s="177" t="s">
        <v>196</v>
      </c>
      <c r="AI42" s="178">
        <f>NPV(Constants!$D$21,'Analysis (B)'!AF45:AF84)+'Analysis (B)'!AF44</f>
        <v>7310.4964794192192</v>
      </c>
    </row>
    <row r="43" spans="8:35" x14ac:dyDescent="0.3">
      <c r="H43" s="293"/>
      <c r="I43" s="289"/>
      <c r="J43" s="175" t="s">
        <v>62</v>
      </c>
      <c r="K43" s="175" t="s">
        <v>62</v>
      </c>
      <c r="L43" s="175" t="s">
        <v>59</v>
      </c>
      <c r="M43" s="175" t="s">
        <v>59</v>
      </c>
      <c r="N43" s="175" t="s">
        <v>59</v>
      </c>
      <c r="O43" s="175" t="s">
        <v>59</v>
      </c>
      <c r="P43" s="175" t="s">
        <v>59</v>
      </c>
      <c r="Q43" s="175" t="s">
        <v>59</v>
      </c>
      <c r="R43" s="175" t="s">
        <v>59</v>
      </c>
      <c r="S43" s="175" t="s">
        <v>59</v>
      </c>
      <c r="T43" s="175" t="s">
        <v>59</v>
      </c>
      <c r="U43" s="175" t="s">
        <v>59</v>
      </c>
      <c r="V43" s="175" t="s">
        <v>59</v>
      </c>
      <c r="W43" s="175" t="s">
        <v>59</v>
      </c>
      <c r="X43" s="175" t="s">
        <v>59</v>
      </c>
      <c r="Y43" s="175" t="s">
        <v>59</v>
      </c>
      <c r="Z43" s="175" t="s">
        <v>59</v>
      </c>
      <c r="AA43" s="175" t="s">
        <v>59</v>
      </c>
      <c r="AB43" s="175" t="s">
        <v>59</v>
      </c>
      <c r="AC43" s="175" t="s">
        <v>59</v>
      </c>
      <c r="AD43" s="175" t="s">
        <v>59</v>
      </c>
      <c r="AE43" s="175" t="s">
        <v>59</v>
      </c>
      <c r="AF43" s="176" t="s">
        <v>176</v>
      </c>
      <c r="AH43" s="166" t="s">
        <v>197</v>
      </c>
      <c r="AI43" s="185">
        <f>PMT(Constants!$D$21,5,-'Analysis (B)'!AI42)</f>
        <v>1596.2803254890036</v>
      </c>
    </row>
    <row r="44" spans="8:35" x14ac:dyDescent="0.3">
      <c r="H44" s="179">
        <v>0</v>
      </c>
      <c r="I44" s="180">
        <v>1</v>
      </c>
      <c r="J44" s="181">
        <v>0</v>
      </c>
      <c r="K44" s="181">
        <v>0</v>
      </c>
      <c r="L44" s="182">
        <v>0</v>
      </c>
      <c r="M44" s="183">
        <f>IF($C$20=0,Configurations!$C$34-Configurations!$C$35,0)</f>
        <v>0</v>
      </c>
      <c r="N44" s="183">
        <v>0</v>
      </c>
      <c r="O44" s="183">
        <v>0</v>
      </c>
      <c r="P44" s="183">
        <f>K44*'Grid Power'!$L$18</f>
        <v>0</v>
      </c>
      <c r="Q44" s="183">
        <v>0</v>
      </c>
      <c r="R44" s="182">
        <f t="shared" ref="R44:R84" si="25">SUM(P44:Q44)-SUM(L44:O44)</f>
        <v>0</v>
      </c>
      <c r="S44" s="182">
        <f>R44+'Analysis (Nothing)'!D5</f>
        <v>0</v>
      </c>
      <c r="T44" s="182">
        <f>Configurations!$C$47/2</f>
        <v>5120.5</v>
      </c>
      <c r="U44" s="182">
        <f>0</f>
        <v>0</v>
      </c>
      <c r="V44" s="182">
        <f>U44+T44</f>
        <v>5120.5</v>
      </c>
      <c r="W44" s="182">
        <f>Configurations!$D$47/2</f>
        <v>837.9</v>
      </c>
      <c r="X44" s="182">
        <f>0</f>
        <v>0</v>
      </c>
      <c r="Y44" s="182">
        <f>X44+W44</f>
        <v>837.9</v>
      </c>
      <c r="Z44" s="182">
        <f>Configurations!$E$47/2</f>
        <v>1303.4000000000001</v>
      </c>
      <c r="AA44" s="183">
        <v>0</v>
      </c>
      <c r="AB44" s="182">
        <f>Z44-AA44</f>
        <v>1303.4000000000001</v>
      </c>
      <c r="AC44" s="183">
        <f>IF(S44&lt;0, 0,S44-AA44-X44-U44)</f>
        <v>0</v>
      </c>
      <c r="AD44" s="182">
        <f>AC44*Constants!$D$23</f>
        <v>0</v>
      </c>
      <c r="AE44" s="182">
        <f t="shared" ref="AE44:AE49" si="26">S44-AD44</f>
        <v>0</v>
      </c>
      <c r="AF44" s="184">
        <f>AE44*(1+Constants!$D$20)^-H44</f>
        <v>0</v>
      </c>
    </row>
    <row r="45" spans="8:35" x14ac:dyDescent="0.3">
      <c r="H45" s="172">
        <v>1</v>
      </c>
      <c r="I45" s="186">
        <f>I44*(1-Constants!$D$11)</f>
        <v>0.995</v>
      </c>
      <c r="J45" s="173">
        <f>$E$18*(2-I45)</f>
        <v>2418.9376949078692</v>
      </c>
      <c r="K45" s="173">
        <f>$F$18*I45</f>
        <v>3514.8395935242911</v>
      </c>
      <c r="L45" s="187">
        <f>IF(J45*'Grid Power'!K18&lt;0,0,J45*'Grid Power'!K18)</f>
        <v>294.62816903565397</v>
      </c>
      <c r="M45" s="188">
        <f>IF($C$20=5,Configurations!$F$34,IF($C$20=15,Configurations!$F$35,0))</f>
        <v>1360.3531010425304</v>
      </c>
      <c r="N45" s="188">
        <v>50</v>
      </c>
      <c r="O45" s="188">
        <v>0</v>
      </c>
      <c r="P45" s="188">
        <f>K45*'Grid Power'!L18</f>
        <v>358.51293205671942</v>
      </c>
      <c r="Q45" s="188">
        <v>0</v>
      </c>
      <c r="R45" s="187">
        <f t="shared" si="25"/>
        <v>-1346.4683380214651</v>
      </c>
      <c r="S45" s="187">
        <f>R45+'Analysis (Nothing)'!D6</f>
        <v>-335.51812079570504</v>
      </c>
      <c r="T45" s="187">
        <f>Configurations!$C$47/2</f>
        <v>5120.5</v>
      </c>
      <c r="U45" s="187">
        <f>V44*Configurations!$C$48</f>
        <v>1536.1499999999999</v>
      </c>
      <c r="V45" s="187">
        <f>V44+T45-U45</f>
        <v>8704.85</v>
      </c>
      <c r="W45" s="187">
        <f>Configurations!$D$47/2</f>
        <v>837.9</v>
      </c>
      <c r="X45" s="187">
        <f>Y44*Configurations!$D$48</f>
        <v>83.79</v>
      </c>
      <c r="Y45" s="187">
        <f>Y44+W45-X45</f>
        <v>1592.01</v>
      </c>
      <c r="Z45" s="187">
        <f>Configurations!$E$47/2</f>
        <v>1303.4000000000001</v>
      </c>
      <c r="AA45" s="187">
        <f>AB44*Configurations!$E$48</f>
        <v>260.68</v>
      </c>
      <c r="AB45" s="187">
        <f>AB44+Z45-AA45</f>
        <v>2346.1200000000003</v>
      </c>
      <c r="AC45" s="188">
        <f>IF(S45-AA45-X45-U45&lt;0, 0,S45-AA45-X45-U45)</f>
        <v>0</v>
      </c>
      <c r="AD45" s="187">
        <f>AC45*Constants!$D$23</f>
        <v>0</v>
      </c>
      <c r="AE45" s="187">
        <f t="shared" si="26"/>
        <v>-335.51812079570504</v>
      </c>
      <c r="AF45" s="189">
        <f>AE45*(1+Constants!$D$20)^-H45</f>
        <v>-328.9393341134363</v>
      </c>
    </row>
    <row r="46" spans="8:35" x14ac:dyDescent="0.3">
      <c r="H46" s="172">
        <v>2</v>
      </c>
      <c r="I46" s="186">
        <f>I45*(1-Constants!$D$11)</f>
        <v>0.99002500000000004</v>
      </c>
      <c r="J46" s="173">
        <f t="shared" ref="J46:J84" si="27">$E$18*(2-I46)</f>
        <v>2430.9120382234578</v>
      </c>
      <c r="K46" s="173">
        <f t="shared" ref="K46:K64" si="28">$F$18*I46</f>
        <v>3497.2653955566698</v>
      </c>
      <c r="L46" s="187">
        <f>IF(J46*'Grid Power'!K19&lt;0,0,J46*'Grid Power'!K19)</f>
        <v>309.52443382257115</v>
      </c>
      <c r="M46" s="188">
        <f>IF($C$20=5,Configurations!$F$34,IF($C$20=15,Configurations!$F$35,0))</f>
        <v>1360.3531010425304</v>
      </c>
      <c r="N46" s="188">
        <v>50</v>
      </c>
      <c r="O46" s="188">
        <v>0</v>
      </c>
      <c r="P46" s="188">
        <f>K46*'Grid Power'!L19</f>
        <v>360.28757107040019</v>
      </c>
      <c r="Q46" s="188">
        <v>0</v>
      </c>
      <c r="R46" s="187">
        <f t="shared" si="25"/>
        <v>-1359.5899637947014</v>
      </c>
      <c r="S46" s="187">
        <f>R46+'Analysis (Nothing)'!D7</f>
        <v>-302.75814869447254</v>
      </c>
      <c r="T46" s="187">
        <v>0</v>
      </c>
      <c r="U46" s="187">
        <f>V45*Configurations!$C$48</f>
        <v>2611.4549999999999</v>
      </c>
      <c r="V46" s="187">
        <f t="shared" ref="V46:V64" si="29">V45+T46-U46</f>
        <v>6093.3950000000004</v>
      </c>
      <c r="W46" s="187">
        <v>0</v>
      </c>
      <c r="X46" s="187">
        <f>Y45*Configurations!$D$48</f>
        <v>159.20100000000002</v>
      </c>
      <c r="Y46" s="187">
        <f t="shared" ref="Y46:Y64" si="30">Y45+W46-X46</f>
        <v>1432.809</v>
      </c>
      <c r="Z46" s="188">
        <v>0</v>
      </c>
      <c r="AA46" s="187">
        <f>AB45*Configurations!$E$48</f>
        <v>469.2240000000001</v>
      </c>
      <c r="AB46" s="187">
        <f t="shared" ref="AB46:AB64" si="31">AB45+Z46-AA46</f>
        <v>1876.8960000000002</v>
      </c>
      <c r="AC46" s="188">
        <f t="shared" ref="AC46:AC64" si="32">IF(S46-AA46-X46-U46&lt;0, 0,S46-AA46-X46-U46)</f>
        <v>0</v>
      </c>
      <c r="AD46" s="187">
        <f>AC46*Constants!$D$23</f>
        <v>0</v>
      </c>
      <c r="AE46" s="187">
        <f t="shared" si="26"/>
        <v>-302.75814869447254</v>
      </c>
      <c r="AF46" s="189">
        <f>AE46*(1+Constants!$D$20)^-H46</f>
        <v>-291.00168079053492</v>
      </c>
    </row>
    <row r="47" spans="8:35" x14ac:dyDescent="0.3">
      <c r="H47" s="172">
        <v>3</v>
      </c>
      <c r="I47" s="186">
        <f>I46*(1-Constants!$D$11)</f>
        <v>0.98507487500000002</v>
      </c>
      <c r="J47" s="173">
        <f t="shared" si="27"/>
        <v>2442.8265098224692</v>
      </c>
      <c r="K47" s="173">
        <f t="shared" si="28"/>
        <v>3479.7790685788864</v>
      </c>
      <c r="L47" s="187">
        <f>IF(J47*'Grid Power'!K20&lt;0,0,J47*'Grid Power'!K20)</f>
        <v>325.19705819401321</v>
      </c>
      <c r="M47" s="188">
        <f>IF($C$20=5,Configurations!$F$34,IF($C$20=15,Configurations!$F$35,0))</f>
        <v>1360.3531010425304</v>
      </c>
      <c r="N47" s="188">
        <v>50</v>
      </c>
      <c r="O47" s="188">
        <v>0</v>
      </c>
      <c r="P47" s="188">
        <f>K47*'Grid Power'!L20</f>
        <v>362.07099454719867</v>
      </c>
      <c r="Q47" s="188">
        <v>0</v>
      </c>
      <c r="R47" s="187">
        <f t="shared" si="25"/>
        <v>-1373.479164689345</v>
      </c>
      <c r="S47" s="187">
        <f>R47+'Analysis (Nothing)'!D8</f>
        <v>-268.55068121353884</v>
      </c>
      <c r="T47" s="187">
        <v>0</v>
      </c>
      <c r="U47" s="187">
        <f>V46*Configurations!$C$48</f>
        <v>1828.0185000000001</v>
      </c>
      <c r="V47" s="187">
        <f t="shared" si="29"/>
        <v>4265.3765000000003</v>
      </c>
      <c r="W47" s="187">
        <v>0</v>
      </c>
      <c r="X47" s="187">
        <f>Y46*Configurations!$D$48</f>
        <v>143.2809</v>
      </c>
      <c r="Y47" s="187">
        <f t="shared" si="30"/>
        <v>1289.5281</v>
      </c>
      <c r="Z47" s="188">
        <v>0</v>
      </c>
      <c r="AA47" s="187">
        <f>AB46*Configurations!$E$48</f>
        <v>375.37920000000008</v>
      </c>
      <c r="AB47" s="187">
        <f t="shared" si="31"/>
        <v>1501.5168000000001</v>
      </c>
      <c r="AC47" s="188">
        <f t="shared" si="32"/>
        <v>0</v>
      </c>
      <c r="AD47" s="187">
        <f>AC47*Constants!$D$23</f>
        <v>0</v>
      </c>
      <c r="AE47" s="187">
        <f t="shared" si="26"/>
        <v>-268.55068121353884</v>
      </c>
      <c r="AF47" s="189">
        <f>AE47*(1+Constants!$D$20)^-H47</f>
        <v>-253.06130486534107</v>
      </c>
    </row>
    <row r="48" spans="8:35" x14ac:dyDescent="0.3">
      <c r="H48" s="172">
        <v>4</v>
      </c>
      <c r="I48" s="186">
        <f>I47*(1-Constants!$D$11)</f>
        <v>0.98014950062500006</v>
      </c>
      <c r="J48" s="173">
        <f t="shared" si="27"/>
        <v>2454.6814090634848</v>
      </c>
      <c r="K48" s="173">
        <f t="shared" si="28"/>
        <v>3462.3801732359921</v>
      </c>
      <c r="L48" s="187">
        <f>IF(J48*'Grid Power'!K21&lt;0,0,J48*'Grid Power'!K21)</f>
        <v>341.68717912628318</v>
      </c>
      <c r="M48" s="188">
        <f>IF($C$20=5,Configurations!$F$34,IF($C$20=15,Configurations!$F$35,0))</f>
        <v>1360.3531010425304</v>
      </c>
      <c r="N48" s="188">
        <v>50</v>
      </c>
      <c r="O48" s="188">
        <v>0</v>
      </c>
      <c r="P48" s="188">
        <f>K48*'Grid Power'!L21</f>
        <v>363.86324597020734</v>
      </c>
      <c r="Q48" s="188">
        <v>0</v>
      </c>
      <c r="R48" s="187">
        <f t="shared" si="25"/>
        <v>-1388.1770341986062</v>
      </c>
      <c r="S48" s="187">
        <f>R48+'Analysis (Nothing)'!D9</f>
        <v>-232.82659085234764</v>
      </c>
      <c r="T48" s="187">
        <v>0</v>
      </c>
      <c r="U48" s="187">
        <f>V47*Configurations!$C$48</f>
        <v>1279.61295</v>
      </c>
      <c r="V48" s="187">
        <f t="shared" si="29"/>
        <v>2985.7635500000006</v>
      </c>
      <c r="W48" s="187">
        <v>0</v>
      </c>
      <c r="X48" s="187">
        <f>Y47*Configurations!$D$48</f>
        <v>128.95281</v>
      </c>
      <c r="Y48" s="187">
        <f t="shared" si="30"/>
        <v>1160.57529</v>
      </c>
      <c r="Z48" s="188">
        <v>0</v>
      </c>
      <c r="AA48" s="187">
        <f>AB47*Configurations!$E$48</f>
        <v>300.30336000000005</v>
      </c>
      <c r="AB48" s="187">
        <f t="shared" si="31"/>
        <v>1201.21344</v>
      </c>
      <c r="AC48" s="188">
        <f t="shared" si="32"/>
        <v>0</v>
      </c>
      <c r="AD48" s="187">
        <f>AC48*Constants!$D$23</f>
        <v>0</v>
      </c>
      <c r="AE48" s="187">
        <f t="shared" si="26"/>
        <v>-232.82659085234764</v>
      </c>
      <c r="AF48" s="189">
        <f>AE48*(1+Constants!$D$20)^-H48</f>
        <v>-215.09578101628802</v>
      </c>
    </row>
    <row r="49" spans="8:32" x14ac:dyDescent="0.3">
      <c r="H49" s="172">
        <v>5</v>
      </c>
      <c r="I49" s="186">
        <f>I48*(1-Constants!$D$11)</f>
        <v>0.97524875312187509</v>
      </c>
      <c r="J49" s="173">
        <f t="shared" si="27"/>
        <v>2466.4770338082949</v>
      </c>
      <c r="K49" s="173">
        <f t="shared" si="28"/>
        <v>3445.0682723698119</v>
      </c>
      <c r="L49" s="187">
        <f>IF(J49*'Grid Power'!K22&lt;0,0,J49*'Grid Power'!K22)</f>
        <v>359.03812412903397</v>
      </c>
      <c r="M49" s="188">
        <f>IF($C$20=5,Configurations!$F$34,IF($C$20=15,Configurations!$F$35,0))</f>
        <v>1360.3531010425304</v>
      </c>
      <c r="N49" s="188">
        <v>50</v>
      </c>
      <c r="O49" s="188">
        <v>0</v>
      </c>
      <c r="P49" s="188">
        <f>K49*'Grid Power'!L22</f>
        <v>365.6643690377598</v>
      </c>
      <c r="Q49" s="188">
        <v>0</v>
      </c>
      <c r="R49" s="187">
        <f t="shared" si="25"/>
        <v>-1403.7268561338046</v>
      </c>
      <c r="S49" s="187">
        <f>R49+'Analysis (Nothing)'!D10</f>
        <v>-195.51337960501064</v>
      </c>
      <c r="T49" s="187">
        <v>0</v>
      </c>
      <c r="U49" s="187">
        <f>V48*Configurations!$C$48</f>
        <v>895.72906500000011</v>
      </c>
      <c r="V49" s="187">
        <f t="shared" si="29"/>
        <v>2090.0344850000006</v>
      </c>
      <c r="W49" s="187">
        <v>0</v>
      </c>
      <c r="X49" s="187">
        <f>Y48*Configurations!$D$48</f>
        <v>116.057529</v>
      </c>
      <c r="Y49" s="187">
        <f t="shared" si="30"/>
        <v>1044.5177610000001</v>
      </c>
      <c r="Z49" s="188">
        <v>0</v>
      </c>
      <c r="AA49" s="187">
        <f>AB48*Configurations!$E$48</f>
        <v>240.24268800000002</v>
      </c>
      <c r="AB49" s="187">
        <f t="shared" si="31"/>
        <v>960.97075199999995</v>
      </c>
      <c r="AC49" s="188">
        <f t="shared" si="32"/>
        <v>0</v>
      </c>
      <c r="AD49" s="187">
        <f>AC49*Constants!$D$23</f>
        <v>0</v>
      </c>
      <c r="AE49" s="187">
        <f t="shared" si="26"/>
        <v>-195.51337960501064</v>
      </c>
      <c r="AF49" s="189">
        <f>AE49*(1+Constants!$D$20)^-H49</f>
        <v>-177.08249164223005</v>
      </c>
    </row>
    <row r="50" spans="8:32" x14ac:dyDescent="0.3">
      <c r="H50" s="172">
        <v>6</v>
      </c>
      <c r="I50" s="186">
        <f>I49*(1-Constants!$D$11)</f>
        <v>0.97037250935626573</v>
      </c>
      <c r="J50" s="173">
        <f t="shared" si="27"/>
        <v>2478.2136804293814</v>
      </c>
      <c r="K50" s="173">
        <f t="shared" si="28"/>
        <v>3427.8429310079632</v>
      </c>
      <c r="L50" s="187">
        <f>IF(J50*'Grid Power'!K23&lt;0,0,J50*'Grid Power'!K23)</f>
        <v>377.29552776064781</v>
      </c>
      <c r="M50" s="188">
        <f>IF($C$20=15,Configurations!$F$35,0)</f>
        <v>1360.3531010425304</v>
      </c>
      <c r="N50" s="188">
        <v>50</v>
      </c>
      <c r="O50" s="188">
        <v>0</v>
      </c>
      <c r="P50" s="188">
        <f>K50*'Grid Power'!L23</f>
        <v>367.47440766449682</v>
      </c>
      <c r="Q50" s="188">
        <v>0</v>
      </c>
      <c r="R50" s="187">
        <f t="shared" si="25"/>
        <v>-1420.1742211386816</v>
      </c>
      <c r="S50" s="187">
        <f>R50+'Analysis (Nothing)'!D11</f>
        <v>-156.53501320246164</v>
      </c>
      <c r="T50" s="187">
        <v>0</v>
      </c>
      <c r="U50" s="187">
        <f>V49*Configurations!$C$48</f>
        <v>627.0103455000002</v>
      </c>
      <c r="V50" s="187">
        <f t="shared" si="29"/>
        <v>1463.0241395000003</v>
      </c>
      <c r="W50" s="187">
        <v>0</v>
      </c>
      <c r="X50" s="187">
        <f>Y49*Configurations!$D$48</f>
        <v>104.45177610000002</v>
      </c>
      <c r="Y50" s="187">
        <f t="shared" si="30"/>
        <v>940.0659849000001</v>
      </c>
      <c r="Z50" s="188">
        <v>0</v>
      </c>
      <c r="AA50" s="187">
        <f>AB49*Configurations!$E$48</f>
        <v>192.19415040000001</v>
      </c>
      <c r="AB50" s="187">
        <f t="shared" si="31"/>
        <v>768.77660159999994</v>
      </c>
      <c r="AC50" s="188">
        <f t="shared" si="32"/>
        <v>0</v>
      </c>
      <c r="AD50" s="187">
        <f>AC50*Constants!$D$23</f>
        <v>0</v>
      </c>
      <c r="AE50" s="187">
        <f t="shared" ref="AE50:AE62" si="33">S50-AD50</f>
        <v>-156.53501320246164</v>
      </c>
      <c r="AF50" s="189">
        <f>AE50*(1+Constants!$D$20)^-H50</f>
        <v>-138.99861203392368</v>
      </c>
    </row>
    <row r="51" spans="8:32" x14ac:dyDescent="0.3">
      <c r="H51" s="172">
        <v>7</v>
      </c>
      <c r="I51" s="186">
        <f>I50*(1-Constants!$D$11)</f>
        <v>0.96552064680948435</v>
      </c>
      <c r="J51" s="173">
        <f t="shared" si="27"/>
        <v>2489.8916438173628</v>
      </c>
      <c r="K51" s="173">
        <f t="shared" si="28"/>
        <v>3410.703716352923</v>
      </c>
      <c r="L51" s="187">
        <f>IF(J51*'Grid Power'!K24&lt;0,0,J51*'Grid Power'!K24)</f>
        <v>396.50745431918222</v>
      </c>
      <c r="M51" s="188">
        <f>IF($C$20=15,Configurations!$F$35,0)</f>
        <v>1360.3531010425304</v>
      </c>
      <c r="N51" s="188">
        <v>50</v>
      </c>
      <c r="O51" s="188">
        <v>0</v>
      </c>
      <c r="P51" s="188">
        <f>K51*'Grid Power'!L24</f>
        <v>369.29340598243601</v>
      </c>
      <c r="Q51" s="188">
        <v>0</v>
      </c>
      <c r="R51" s="187">
        <f t="shared" si="25"/>
        <v>-1437.5671493792765</v>
      </c>
      <c r="S51" s="187">
        <f>R51+'Analysis (Nothing)'!D12</f>
        <v>-115.81174716355372</v>
      </c>
      <c r="T51" s="187">
        <v>0</v>
      </c>
      <c r="U51" s="187">
        <f>V50*Configurations!$C$48</f>
        <v>438.90724185000005</v>
      </c>
      <c r="V51" s="187">
        <f t="shared" si="29"/>
        <v>1024.1168976500003</v>
      </c>
      <c r="W51" s="187">
        <v>0</v>
      </c>
      <c r="X51" s="187">
        <f>Y50*Configurations!$D$48</f>
        <v>94.006598490000016</v>
      </c>
      <c r="Y51" s="187">
        <f t="shared" si="30"/>
        <v>846.05938641000012</v>
      </c>
      <c r="Z51" s="188">
        <v>0</v>
      </c>
      <c r="AA51" s="187">
        <f>AB50*Configurations!$E$48</f>
        <v>153.75532032000001</v>
      </c>
      <c r="AB51" s="187">
        <f t="shared" si="31"/>
        <v>615.02128127999993</v>
      </c>
      <c r="AC51" s="188">
        <f t="shared" si="32"/>
        <v>0</v>
      </c>
      <c r="AD51" s="187">
        <f>AC51*Constants!$D$23</f>
        <v>0</v>
      </c>
      <c r="AE51" s="187">
        <f t="shared" si="33"/>
        <v>-115.81174716355372</v>
      </c>
      <c r="AF51" s="189">
        <f>AE51*(1+Constants!$D$20)^-H51</f>
        <v>-100.82109529629275</v>
      </c>
    </row>
    <row r="52" spans="8:32" x14ac:dyDescent="0.3">
      <c r="H52" s="172">
        <v>8</v>
      </c>
      <c r="I52" s="186">
        <f>I51*(1-Constants!$D$11)</f>
        <v>0.96069304357543694</v>
      </c>
      <c r="J52" s="173">
        <f t="shared" si="27"/>
        <v>2501.511217388404</v>
      </c>
      <c r="K52" s="173">
        <f t="shared" si="28"/>
        <v>3393.6501977711587</v>
      </c>
      <c r="L52" s="187">
        <f>IF(J52*'Grid Power'!K25&lt;0,0,J52*'Grid Power'!K25)</f>
        <v>416.72452703483452</v>
      </c>
      <c r="M52" s="188">
        <f>IF($C$20=15,Configurations!$F$35,0)</f>
        <v>1360.3531010425304</v>
      </c>
      <c r="N52" s="188">
        <v>50</v>
      </c>
      <c r="O52" s="188">
        <v>0</v>
      </c>
      <c r="P52" s="188">
        <f>K52*'Grid Power'!L25</f>
        <v>371.12140834204911</v>
      </c>
      <c r="Q52" s="188">
        <v>0</v>
      </c>
      <c r="R52" s="187">
        <f t="shared" si="25"/>
        <v>-1455.9562197353157</v>
      </c>
      <c r="S52" s="187">
        <f>R52+'Analysis (Nothing)'!D13</f>
        <v>-73.259944248990905</v>
      </c>
      <c r="T52" s="187">
        <v>0</v>
      </c>
      <c r="U52" s="187">
        <f>V51*Configurations!$C$48</f>
        <v>307.23506929500007</v>
      </c>
      <c r="V52" s="187">
        <f t="shared" si="29"/>
        <v>716.88182835500015</v>
      </c>
      <c r="W52" s="187">
        <v>0</v>
      </c>
      <c r="X52" s="187">
        <f>Y51*Configurations!$D$48</f>
        <v>84.605938641000023</v>
      </c>
      <c r="Y52" s="187">
        <f t="shared" si="30"/>
        <v>761.45344776900015</v>
      </c>
      <c r="Z52" s="188">
        <v>0</v>
      </c>
      <c r="AA52" s="187">
        <f>AB51*Configurations!$E$48</f>
        <v>123.00425625599999</v>
      </c>
      <c r="AB52" s="187">
        <f t="shared" si="31"/>
        <v>492.01702502399996</v>
      </c>
      <c r="AC52" s="188">
        <f t="shared" si="32"/>
        <v>0</v>
      </c>
      <c r="AD52" s="187">
        <f>AC52*Constants!$D$23</f>
        <v>0</v>
      </c>
      <c r="AE52" s="187">
        <f t="shared" si="33"/>
        <v>-73.259944248990905</v>
      </c>
      <c r="AF52" s="189">
        <f>AE52*(1+Constants!$D$20)^-H52</f>
        <v>-62.526657010438129</v>
      </c>
    </row>
    <row r="53" spans="8:32" x14ac:dyDescent="0.3">
      <c r="H53" s="172">
        <v>9</v>
      </c>
      <c r="I53" s="186">
        <f>I52*(1-Constants!$D$11)</f>
        <v>0.95588957835755972</v>
      </c>
      <c r="J53" s="173">
        <f t="shared" si="27"/>
        <v>2513.0726930915907</v>
      </c>
      <c r="K53" s="173">
        <f t="shared" si="28"/>
        <v>3376.6819467823025</v>
      </c>
      <c r="L53" s="187">
        <f>IF(J53*'Grid Power'!K26&lt;0,0,J53*'Grid Power'!K26)</f>
        <v>438.00006410701252</v>
      </c>
      <c r="M53" s="188">
        <f>IF($C$20=15,Configurations!$F$35,0)</f>
        <v>1360.3531010425304</v>
      </c>
      <c r="N53" s="188">
        <v>50</v>
      </c>
      <c r="O53" s="188">
        <v>0</v>
      </c>
      <c r="P53" s="188">
        <f>K53*'Grid Power'!L26</f>
        <v>372.95845931334219</v>
      </c>
      <c r="Q53" s="188">
        <v>0</v>
      </c>
      <c r="R53" s="187">
        <f t="shared" si="25"/>
        <v>-1475.3947058362007</v>
      </c>
      <c r="S53" s="187">
        <f>R53+'Analysis (Nothing)'!D14</f>
        <v>-28.791882891805699</v>
      </c>
      <c r="T53" s="187">
        <v>0</v>
      </c>
      <c r="U53" s="187">
        <f>V52*Configurations!$C$48</f>
        <v>215.06454850650005</v>
      </c>
      <c r="V53" s="187">
        <f t="shared" si="29"/>
        <v>501.81727984850011</v>
      </c>
      <c r="W53" s="187">
        <v>0</v>
      </c>
      <c r="X53" s="187">
        <f>Y52*Configurations!$D$48</f>
        <v>76.145344776900018</v>
      </c>
      <c r="Y53" s="187">
        <f t="shared" si="30"/>
        <v>685.30810299210009</v>
      </c>
      <c r="Z53" s="188">
        <v>0</v>
      </c>
      <c r="AA53" s="187">
        <f>AB52*Configurations!$E$48</f>
        <v>98.403405004799993</v>
      </c>
      <c r="AB53" s="187">
        <f t="shared" si="31"/>
        <v>393.61362001919997</v>
      </c>
      <c r="AC53" s="188">
        <f t="shared" si="32"/>
        <v>0</v>
      </c>
      <c r="AD53" s="187">
        <f>AC53*Constants!$D$23</f>
        <v>0</v>
      </c>
      <c r="AE53" s="187">
        <f t="shared" si="33"/>
        <v>-28.791882891805699</v>
      </c>
      <c r="AF53" s="189">
        <f>AE53*(1+Constants!$D$20)^-H53</f>
        <v>-24.091759624107326</v>
      </c>
    </row>
    <row r="54" spans="8:32" x14ac:dyDescent="0.3">
      <c r="H54" s="172">
        <v>10</v>
      </c>
      <c r="I54" s="186">
        <f>I53*(1-Constants!$D$11)</f>
        <v>0.95111013046577186</v>
      </c>
      <c r="J54" s="173">
        <f t="shared" si="27"/>
        <v>2524.5763614162606</v>
      </c>
      <c r="K54" s="173">
        <f t="shared" si="28"/>
        <v>3359.7985370483907</v>
      </c>
      <c r="L54" s="187">
        <f>IF(J54*'Grid Power'!K27&lt;0,0,J54*'Grid Power'!K27)</f>
        <v>460.39022194712499</v>
      </c>
      <c r="M54" s="188">
        <f>IF($C$20=15,Configurations!$F$35,0)</f>
        <v>1360.3531010425304</v>
      </c>
      <c r="N54" s="188">
        <v>50</v>
      </c>
      <c r="O54" s="188">
        <f>Configurations!$D$39+Configurations!$D$41</f>
        <v>6330.8</v>
      </c>
      <c r="P54" s="188">
        <f>K54*'Grid Power'!L27</f>
        <v>374.80460368694321</v>
      </c>
      <c r="Q54" s="188">
        <v>0</v>
      </c>
      <c r="R54" s="187">
        <f t="shared" si="25"/>
        <v>-7826.7387193027116</v>
      </c>
      <c r="S54" s="187">
        <f>R54+'Analysis (Nothing)'!D15</f>
        <v>-6313.115556156903</v>
      </c>
      <c r="T54" s="187">
        <f>Configurations!$D$39/2</f>
        <v>1862</v>
      </c>
      <c r="U54" s="187">
        <f>V53*Configurations!$C$48</f>
        <v>150.54518395455003</v>
      </c>
      <c r="V54" s="187">
        <f t="shared" si="29"/>
        <v>2213.2720958939503</v>
      </c>
      <c r="W54" s="187">
        <v>0</v>
      </c>
      <c r="X54" s="187">
        <f>Y53*Configurations!$D$48</f>
        <v>68.530810299210017</v>
      </c>
      <c r="Y54" s="187">
        <f t="shared" si="30"/>
        <v>616.77729269289011</v>
      </c>
      <c r="Z54" s="188">
        <f>Configurations!$D$41/2</f>
        <v>1303.4000000000001</v>
      </c>
      <c r="AA54" s="187">
        <f>AB53*Configurations!$E$48</f>
        <v>78.72272400384</v>
      </c>
      <c r="AB54" s="187">
        <f t="shared" si="31"/>
        <v>1618.29089601536</v>
      </c>
      <c r="AC54" s="188">
        <f t="shared" si="32"/>
        <v>0</v>
      </c>
      <c r="AD54" s="187">
        <f>AC54*Constants!$D$23</f>
        <v>0</v>
      </c>
      <c r="AE54" s="187">
        <f t="shared" si="33"/>
        <v>-6313.115556156903</v>
      </c>
      <c r="AF54" s="189">
        <f>AE54*(1+Constants!$D$20)^-H54</f>
        <v>-5178.9536134087111</v>
      </c>
    </row>
    <row r="55" spans="8:32" x14ac:dyDescent="0.3">
      <c r="H55" s="172">
        <v>11</v>
      </c>
      <c r="I55" s="186">
        <f>I54*(1-Constants!$D$11)</f>
        <v>0.94635457981344295</v>
      </c>
      <c r="J55" s="173">
        <f t="shared" si="27"/>
        <v>2536.0225113993074</v>
      </c>
      <c r="K55" s="173">
        <f t="shared" si="28"/>
        <v>3342.9995443631487</v>
      </c>
      <c r="L55" s="187">
        <f>IF(J55*'Grid Power'!K28&lt;0,0,J55*'Grid Power'!K28)</f>
        <v>483.95414600719187</v>
      </c>
      <c r="M55" s="188">
        <f>IF($C$20=15,Configurations!$F$35,0)</f>
        <v>1360.3531010425304</v>
      </c>
      <c r="N55" s="188">
        <v>50</v>
      </c>
      <c r="O55" s="188">
        <v>0</v>
      </c>
      <c r="P55" s="188">
        <f>K55*'Grid Power'!L28</f>
        <v>376.65988647519362</v>
      </c>
      <c r="Q55" s="188">
        <v>0</v>
      </c>
      <c r="R55" s="187">
        <f t="shared" si="25"/>
        <v>-1517.6473605745286</v>
      </c>
      <c r="S55" s="187">
        <f>R55+'Analysis (Nothing)'!D16</f>
        <v>66.265539240052476</v>
      </c>
      <c r="T55" s="187">
        <f>Configurations!$D$39/2</f>
        <v>1862</v>
      </c>
      <c r="U55" s="187">
        <f>V54*Configurations!$C$48</f>
        <v>663.98162876818503</v>
      </c>
      <c r="V55" s="187">
        <f t="shared" si="29"/>
        <v>3411.2904671257652</v>
      </c>
      <c r="W55" s="187">
        <v>0</v>
      </c>
      <c r="X55" s="187">
        <f>Y54*Configurations!$D$48</f>
        <v>61.677729269289017</v>
      </c>
      <c r="Y55" s="187">
        <f t="shared" si="30"/>
        <v>555.09956342360113</v>
      </c>
      <c r="Z55" s="188">
        <f>Configurations!$D$41/2</f>
        <v>1303.4000000000001</v>
      </c>
      <c r="AA55" s="187">
        <f>AB54*Configurations!$E$48</f>
        <v>323.658179203072</v>
      </c>
      <c r="AB55" s="187">
        <f t="shared" si="31"/>
        <v>2598.0327168122881</v>
      </c>
      <c r="AC55" s="188">
        <f t="shared" si="32"/>
        <v>0</v>
      </c>
      <c r="AD55" s="187">
        <f>AC55*Constants!$D$23</f>
        <v>0</v>
      </c>
      <c r="AE55" s="187">
        <f t="shared" si="33"/>
        <v>66.265539240052476</v>
      </c>
      <c r="AF55" s="189">
        <f>AE55*(1+Constants!$D$20)^-H55</f>
        <v>53.294923976360245</v>
      </c>
    </row>
    <row r="56" spans="8:32" x14ac:dyDescent="0.3">
      <c r="H56" s="172">
        <v>12</v>
      </c>
      <c r="I56" s="186">
        <f>I55*(1-Constants!$D$11)</f>
        <v>0.94162280691437572</v>
      </c>
      <c r="J56" s="173">
        <f t="shared" si="27"/>
        <v>2547.4114306324391</v>
      </c>
      <c r="K56" s="173">
        <f t="shared" si="28"/>
        <v>3326.2845466413328</v>
      </c>
      <c r="L56" s="187">
        <f>IF(J56*'Grid Power'!K29&lt;0,0,J56*'Grid Power'!K29)</f>
        <v>508.75412959433044</v>
      </c>
      <c r="M56" s="188">
        <f>IF($C$20=15,Configurations!$F$35,0)</f>
        <v>1360.3531010425304</v>
      </c>
      <c r="N56" s="188">
        <v>50</v>
      </c>
      <c r="O56" s="188">
        <v>0</v>
      </c>
      <c r="P56" s="188">
        <f>K56*'Grid Power'!L29</f>
        <v>378.52435291324576</v>
      </c>
      <c r="Q56" s="188">
        <v>0</v>
      </c>
      <c r="R56" s="187">
        <f t="shared" si="25"/>
        <v>-1540.582877723615</v>
      </c>
      <c r="S56" s="187">
        <f>R56+'Analysis (Nothing)'!D17</f>
        <v>117.05262434751035</v>
      </c>
      <c r="T56" s="187">
        <v>0</v>
      </c>
      <c r="U56" s="187">
        <f>V55*Configurations!$C$48</f>
        <v>1023.3871401377295</v>
      </c>
      <c r="V56" s="187">
        <f t="shared" si="29"/>
        <v>2387.9033269880356</v>
      </c>
      <c r="W56" s="187">
        <v>0</v>
      </c>
      <c r="X56" s="187">
        <f>Y55*Configurations!$D$48</f>
        <v>55.509956342360113</v>
      </c>
      <c r="Y56" s="187">
        <f t="shared" si="30"/>
        <v>499.58960708124101</v>
      </c>
      <c r="Z56" s="188">
        <v>0</v>
      </c>
      <c r="AA56" s="187">
        <f>AB55*Configurations!$E$48</f>
        <v>519.60654336245761</v>
      </c>
      <c r="AB56" s="187">
        <f t="shared" si="31"/>
        <v>2078.4261734498305</v>
      </c>
      <c r="AC56" s="188">
        <f t="shared" si="32"/>
        <v>0</v>
      </c>
      <c r="AD56" s="187">
        <f>AC56*Constants!$D$23</f>
        <v>0</v>
      </c>
      <c r="AE56" s="187">
        <f t="shared" si="33"/>
        <v>117.05262434751035</v>
      </c>
      <c r="AF56" s="189">
        <f>AE56*(1+Constants!$D$20)^-H56</f>
        <v>92.295195481935153</v>
      </c>
    </row>
    <row r="57" spans="8:32" x14ac:dyDescent="0.3">
      <c r="H57" s="172">
        <v>13</v>
      </c>
      <c r="I57" s="186">
        <f>I56*(1-Constants!$D$11)</f>
        <v>0.93691469287980389</v>
      </c>
      <c r="J57" s="173">
        <f t="shared" si="27"/>
        <v>2558.7434052694043</v>
      </c>
      <c r="K57" s="173">
        <f t="shared" si="28"/>
        <v>3309.6531239081264</v>
      </c>
      <c r="L57" s="187">
        <f>IF(J57*'Grid Power'!K30&lt;0,0,J57*'Grid Power'!K30)</f>
        <v>534.85578109219841</v>
      </c>
      <c r="M57" s="188">
        <f>IF($C$20=15,Configurations!$F$35,0)</f>
        <v>1360.3531010425304</v>
      </c>
      <c r="N57" s="188">
        <v>50</v>
      </c>
      <c r="O57" s="188">
        <v>0</v>
      </c>
      <c r="P57" s="188">
        <f>K57*'Grid Power'!L30</f>
        <v>380.39804846016636</v>
      </c>
      <c r="Q57" s="188">
        <v>0</v>
      </c>
      <c r="R57" s="187">
        <f t="shared" si="25"/>
        <v>-1564.8108336745624</v>
      </c>
      <c r="S57" s="187">
        <f>R57+'Analysis (Nothing)'!D18</f>
        <v>170.15187034424252</v>
      </c>
      <c r="T57" s="187">
        <v>0</v>
      </c>
      <c r="U57" s="187">
        <f>V56*Configurations!$C$48</f>
        <v>716.37099809641063</v>
      </c>
      <c r="V57" s="187">
        <f t="shared" si="29"/>
        <v>1671.532328891625</v>
      </c>
      <c r="W57" s="187">
        <v>0</v>
      </c>
      <c r="X57" s="187">
        <f>Y56*Configurations!$D$48</f>
        <v>49.958960708124103</v>
      </c>
      <c r="Y57" s="187">
        <f t="shared" si="30"/>
        <v>449.63064637311692</v>
      </c>
      <c r="Z57" s="188">
        <v>0</v>
      </c>
      <c r="AA57" s="187">
        <f>AB56*Configurations!$E$48</f>
        <v>415.68523468996614</v>
      </c>
      <c r="AB57" s="187">
        <f t="shared" si="31"/>
        <v>1662.7409387598643</v>
      </c>
      <c r="AC57" s="188">
        <f t="shared" si="32"/>
        <v>0</v>
      </c>
      <c r="AD57" s="187">
        <f>AC57*Constants!$D$23</f>
        <v>0</v>
      </c>
      <c r="AE57" s="187">
        <f t="shared" si="33"/>
        <v>170.15187034424252</v>
      </c>
      <c r="AF57" s="189">
        <f>AE57*(1+Constants!$D$20)^-H57</f>
        <v>131.53292997930399</v>
      </c>
    </row>
    <row r="58" spans="8:32" x14ac:dyDescent="0.3">
      <c r="H58" s="172">
        <v>14</v>
      </c>
      <c r="I58" s="186">
        <f>I57*(1-Constants!$D$11)</f>
        <v>0.9322301194154049</v>
      </c>
      <c r="J58" s="173">
        <f t="shared" si="27"/>
        <v>2570.0187200331861</v>
      </c>
      <c r="K58" s="173">
        <f t="shared" si="28"/>
        <v>3293.104858288586</v>
      </c>
      <c r="L58" s="187">
        <f>IF(J58*'Grid Power'!K31&lt;0,0,J58*'Grid Power'!K31)</f>
        <v>562.32820003258837</v>
      </c>
      <c r="M58" s="188">
        <f>IF($C$20=15,Configurations!$F$35,0)</f>
        <v>1360.3531010425304</v>
      </c>
      <c r="N58" s="188">
        <v>50</v>
      </c>
      <c r="O58" s="188">
        <v>0</v>
      </c>
      <c r="P58" s="188">
        <f>K58*'Grid Power'!L31</f>
        <v>382.28101880004425</v>
      </c>
      <c r="Q58" s="188">
        <v>0</v>
      </c>
      <c r="R58" s="187">
        <f t="shared" si="25"/>
        <v>-1590.4002822750747</v>
      </c>
      <c r="S58" s="187">
        <f>R58+'Analysis (Nothing)'!D19</f>
        <v>225.67464240026652</v>
      </c>
      <c r="T58" s="187">
        <v>0</v>
      </c>
      <c r="U58" s="187">
        <f>V57*Configurations!$C$48</f>
        <v>501.45969866748749</v>
      </c>
      <c r="V58" s="187">
        <f t="shared" si="29"/>
        <v>1170.0726302241374</v>
      </c>
      <c r="W58" s="187">
        <v>0</v>
      </c>
      <c r="X58" s="187">
        <f>Y57*Configurations!$D$48</f>
        <v>44.963064637311696</v>
      </c>
      <c r="Y58" s="187">
        <f t="shared" si="30"/>
        <v>404.66758173580524</v>
      </c>
      <c r="Z58" s="188">
        <v>0</v>
      </c>
      <c r="AA58" s="187">
        <f>AB57*Configurations!$E$48</f>
        <v>332.54818775197288</v>
      </c>
      <c r="AB58" s="187">
        <f t="shared" si="31"/>
        <v>1330.1927510078915</v>
      </c>
      <c r="AC58" s="188">
        <f t="shared" si="32"/>
        <v>0</v>
      </c>
      <c r="AD58" s="187">
        <f>AC58*Constants!$D$23</f>
        <v>0</v>
      </c>
      <c r="AE58" s="187">
        <f t="shared" si="33"/>
        <v>225.67464240026652</v>
      </c>
      <c r="AF58" s="189">
        <f>AE58*(1+Constants!$D$20)^-H58</f>
        <v>171.03317515805543</v>
      </c>
    </row>
    <row r="59" spans="8:32" x14ac:dyDescent="0.3">
      <c r="H59" s="172">
        <v>15</v>
      </c>
      <c r="I59" s="186">
        <f>I58*(1-Constants!$D$11)</f>
        <v>0.92756896881832784</v>
      </c>
      <c r="J59" s="173">
        <f t="shared" si="27"/>
        <v>2581.2376582231482</v>
      </c>
      <c r="K59" s="173">
        <f t="shared" si="28"/>
        <v>3276.6393339971428</v>
      </c>
      <c r="L59" s="187">
        <f>IF(J59*'Grid Power'!K32&lt;0,0,J59*'Grid Power'!K32)</f>
        <v>591.24416248363184</v>
      </c>
      <c r="M59" s="188">
        <f>IF($C$20=15,Configurations!$F$35,0)</f>
        <v>1360.3531010425304</v>
      </c>
      <c r="N59" s="188">
        <v>50</v>
      </c>
      <c r="O59" s="188">
        <v>0</v>
      </c>
      <c r="P59" s="188">
        <f>K59*'Grid Power'!L32</f>
        <v>384.17330984310445</v>
      </c>
      <c r="Q59" s="188">
        <v>0</v>
      </c>
      <c r="R59" s="187">
        <f t="shared" si="25"/>
        <v>-1617.4239536830578</v>
      </c>
      <c r="S59" s="187">
        <f>R59+'Analysis (Nothing)'!D20</f>
        <v>283.73775560283821</v>
      </c>
      <c r="T59" s="187">
        <v>0</v>
      </c>
      <c r="U59" s="187">
        <f>V58*Configurations!$C$48</f>
        <v>351.02178906724117</v>
      </c>
      <c r="V59" s="187">
        <f t="shared" si="29"/>
        <v>819.05084115689624</v>
      </c>
      <c r="W59" s="187">
        <v>0</v>
      </c>
      <c r="X59" s="187">
        <f>Y58*Configurations!$D$48</f>
        <v>40.46675817358053</v>
      </c>
      <c r="Y59" s="187">
        <f t="shared" si="30"/>
        <v>364.20082356222474</v>
      </c>
      <c r="Z59" s="188">
        <v>0</v>
      </c>
      <c r="AA59" s="187">
        <f>AB58*Configurations!$E$48</f>
        <v>266.03855020157829</v>
      </c>
      <c r="AB59" s="187">
        <f t="shared" si="31"/>
        <v>1064.1542008063132</v>
      </c>
      <c r="AC59" s="188">
        <f t="shared" si="32"/>
        <v>0</v>
      </c>
      <c r="AD59" s="187">
        <f>AC59*Constants!$D$23</f>
        <v>0</v>
      </c>
      <c r="AE59" s="187">
        <f t="shared" si="33"/>
        <v>283.73775560283821</v>
      </c>
      <c r="AF59" s="189">
        <f>AE59*(1+Constants!$D$20)^-H59</f>
        <v>210.8213318667913</v>
      </c>
    </row>
    <row r="60" spans="8:32" x14ac:dyDescent="0.3">
      <c r="H60" s="172">
        <v>16</v>
      </c>
      <c r="I60" s="186">
        <f>I59*(1-Constants!$D$11)</f>
        <v>0.92293112397423616</v>
      </c>
      <c r="J60" s="173">
        <f t="shared" si="27"/>
        <v>2592.4005017221602</v>
      </c>
      <c r="K60" s="173">
        <f t="shared" si="28"/>
        <v>3260.2561373271569</v>
      </c>
      <c r="L60" s="187">
        <f>IF(J60*'Grid Power'!K33&lt;0,0,J60*'Grid Power'!K33)</f>
        <v>621.68031624557182</v>
      </c>
      <c r="M60" s="188">
        <v>0</v>
      </c>
      <c r="N60" s="188">
        <v>50</v>
      </c>
      <c r="O60" s="188">
        <v>0</v>
      </c>
      <c r="P60" s="188">
        <f>K60*'Grid Power'!L33</f>
        <v>386.07496772682777</v>
      </c>
      <c r="Q60" s="188">
        <v>0</v>
      </c>
      <c r="R60" s="187">
        <f t="shared" si="25"/>
        <v>-285.60534851874405</v>
      </c>
      <c r="S60" s="187">
        <f>R60+'Analysis (Nothing)'!D21</f>
        <v>1704.8168445887909</v>
      </c>
      <c r="T60" s="187">
        <v>0</v>
      </c>
      <c r="U60" s="187">
        <f>V59*Configurations!$C$48</f>
        <v>245.71525234706885</v>
      </c>
      <c r="V60" s="187">
        <f t="shared" si="29"/>
        <v>573.33558880982741</v>
      </c>
      <c r="W60" s="187">
        <v>0</v>
      </c>
      <c r="X60" s="187">
        <f>Y59*Configurations!$D$48</f>
        <v>36.420082356222473</v>
      </c>
      <c r="Y60" s="187">
        <f t="shared" si="30"/>
        <v>327.78074120600229</v>
      </c>
      <c r="Z60" s="188">
        <v>0</v>
      </c>
      <c r="AA60" s="187">
        <f>AB59*Configurations!$E$48</f>
        <v>212.83084016126264</v>
      </c>
      <c r="AB60" s="187">
        <f t="shared" si="31"/>
        <v>851.32336064505057</v>
      </c>
      <c r="AC60" s="188">
        <f t="shared" si="32"/>
        <v>1209.8506697242369</v>
      </c>
      <c r="AD60" s="187">
        <f>AC60*Constants!$D$23</f>
        <v>120.9850669724237</v>
      </c>
      <c r="AE60" s="187">
        <f t="shared" si="33"/>
        <v>1583.8317776163672</v>
      </c>
      <c r="AF60" s="189">
        <f>AE60*(1+Constants!$D$20)^-H60</f>
        <v>1153.7356280322169</v>
      </c>
    </row>
    <row r="61" spans="8:32" x14ac:dyDescent="0.3">
      <c r="H61" s="172">
        <v>17</v>
      </c>
      <c r="I61" s="186">
        <f>I60*(1-Constants!$D$11)</f>
        <v>0.91831646835436498</v>
      </c>
      <c r="J61" s="173">
        <f t="shared" si="27"/>
        <v>2603.5075310036777</v>
      </c>
      <c r="K61" s="173">
        <f t="shared" si="28"/>
        <v>3243.954856640521</v>
      </c>
      <c r="L61" s="187">
        <f>IF(J61*'Grid Power'!K34&lt;0,0,J61*'Grid Power'!K34)</f>
        <v>653.71738637082717</v>
      </c>
      <c r="M61" s="188">
        <v>0</v>
      </c>
      <c r="N61" s="188">
        <v>50</v>
      </c>
      <c r="O61" s="188">
        <v>0</v>
      </c>
      <c r="P61" s="188">
        <f>K61*'Grid Power'!L34</f>
        <v>387.98603881707555</v>
      </c>
      <c r="Q61" s="188">
        <v>0</v>
      </c>
      <c r="R61" s="187">
        <f t="shared" si="25"/>
        <v>-315.73134755375162</v>
      </c>
      <c r="S61" s="187">
        <f>R61+'Analysis (Nothing)'!D22</f>
        <v>1768.3342412565835</v>
      </c>
      <c r="T61" s="187">
        <v>0</v>
      </c>
      <c r="U61" s="187">
        <f>V60*Configurations!$C$48</f>
        <v>172.00067664294821</v>
      </c>
      <c r="V61" s="187">
        <f t="shared" si="29"/>
        <v>401.33491216687923</v>
      </c>
      <c r="W61" s="187">
        <v>0</v>
      </c>
      <c r="X61" s="187">
        <f>Y60*Configurations!$D$48</f>
        <v>32.77807412060023</v>
      </c>
      <c r="Y61" s="187">
        <f t="shared" si="30"/>
        <v>295.00266708540204</v>
      </c>
      <c r="Z61" s="188">
        <v>0</v>
      </c>
      <c r="AA61" s="187">
        <f>AB60*Configurations!$E$48</f>
        <v>170.26467212901014</v>
      </c>
      <c r="AB61" s="187">
        <f t="shared" si="31"/>
        <v>681.05868851604043</v>
      </c>
      <c r="AC61" s="188">
        <f t="shared" si="32"/>
        <v>1393.2908183640247</v>
      </c>
      <c r="AD61" s="187">
        <f>AC61*Constants!$D$23</f>
        <v>139.32908183640248</v>
      </c>
      <c r="AE61" s="187">
        <f t="shared" si="33"/>
        <v>1629.0051594201809</v>
      </c>
      <c r="AF61" s="189">
        <f>AE61*(1+Constants!$D$20)^-H61</f>
        <v>1163.3744989201175</v>
      </c>
    </row>
    <row r="62" spans="8:32" x14ac:dyDescent="0.3">
      <c r="H62" s="172">
        <v>18</v>
      </c>
      <c r="I62" s="186">
        <f>I61*(1-Constants!$D$11)</f>
        <v>0.91372488601259316</v>
      </c>
      <c r="J62" s="173">
        <f t="shared" si="27"/>
        <v>2614.5590251387871</v>
      </c>
      <c r="K62" s="173">
        <f t="shared" si="28"/>
        <v>3227.7350823573188</v>
      </c>
      <c r="L62" s="187">
        <f>IF(J62*'Grid Power'!K35&lt;0,0,J62*'Grid Power'!K35)</f>
        <v>687.44039155218934</v>
      </c>
      <c r="M62" s="188">
        <v>0</v>
      </c>
      <c r="N62" s="188">
        <v>50</v>
      </c>
      <c r="O62" s="188">
        <v>0</v>
      </c>
      <c r="P62" s="188">
        <f>K62*'Grid Power'!L35</f>
        <v>389.90656970922015</v>
      </c>
      <c r="Q62" s="188">
        <v>0</v>
      </c>
      <c r="R62" s="187">
        <f t="shared" si="25"/>
        <v>-347.53382184296919</v>
      </c>
      <c r="S62" s="187">
        <f>R62+'Analysis (Nothing)'!D23</f>
        <v>1834.7778768558037</v>
      </c>
      <c r="T62" s="187">
        <v>0</v>
      </c>
      <c r="U62" s="187">
        <f>V61*Configurations!$C$48</f>
        <v>120.40047365006376</v>
      </c>
      <c r="V62" s="187">
        <f t="shared" si="29"/>
        <v>280.93443851681548</v>
      </c>
      <c r="W62" s="187">
        <v>0</v>
      </c>
      <c r="X62" s="187">
        <f>Y61*Configurations!$D$48</f>
        <v>29.500266708540206</v>
      </c>
      <c r="Y62" s="187">
        <f t="shared" si="30"/>
        <v>265.50240037686183</v>
      </c>
      <c r="Z62" s="188">
        <v>0</v>
      </c>
      <c r="AA62" s="187">
        <f>AB61*Configurations!$E$48</f>
        <v>136.21173770320809</v>
      </c>
      <c r="AB62" s="187">
        <f t="shared" si="31"/>
        <v>544.84695081283235</v>
      </c>
      <c r="AC62" s="188">
        <f t="shared" si="32"/>
        <v>1548.6653987939915</v>
      </c>
      <c r="AD62" s="187">
        <f>AC62*Constants!$D$23</f>
        <v>154.86653987939917</v>
      </c>
      <c r="AE62" s="187">
        <f t="shared" si="33"/>
        <v>1679.9113369764045</v>
      </c>
      <c r="AF62" s="189">
        <f>AE62*(1+Constants!$D$20)^-H62</f>
        <v>1176.205671695064</v>
      </c>
    </row>
    <row r="63" spans="8:32" x14ac:dyDescent="0.3">
      <c r="H63" s="172">
        <v>19</v>
      </c>
      <c r="I63" s="186">
        <f>I62*(1-Constants!$D$11)</f>
        <v>0.90915626158253016</v>
      </c>
      <c r="J63" s="173">
        <f t="shared" si="27"/>
        <v>2625.5552618032216</v>
      </c>
      <c r="K63" s="173">
        <f t="shared" si="28"/>
        <v>3211.5964069455317</v>
      </c>
      <c r="L63" s="187">
        <f>IF(J63*'Grid Power'!K36&lt;0,0,J63*'Grid Power'!K36)</f>
        <v>722.93887195153593</v>
      </c>
      <c r="M63" s="188">
        <v>0</v>
      </c>
      <c r="N63" s="188">
        <v>50</v>
      </c>
      <c r="O63" s="188">
        <v>0</v>
      </c>
      <c r="P63" s="188">
        <f>K63*'Grid Power'!L36</f>
        <v>391.83660722928073</v>
      </c>
      <c r="Q63" s="188">
        <v>0</v>
      </c>
      <c r="R63" s="187">
        <f t="shared" si="25"/>
        <v>-381.1022647222552</v>
      </c>
      <c r="S63" s="187">
        <f>R63+'Analysis (Nothing)'!D24</f>
        <v>1904.2891882961662</v>
      </c>
      <c r="T63" s="187">
        <v>0</v>
      </c>
      <c r="U63" s="187">
        <f>V62*Configurations!$C$48</f>
        <v>84.28033155504464</v>
      </c>
      <c r="V63" s="187">
        <f t="shared" si="29"/>
        <v>196.65410696177082</v>
      </c>
      <c r="W63" s="187">
        <v>0</v>
      </c>
      <c r="X63" s="187">
        <f>Y62*Configurations!$D$48</f>
        <v>26.550240037686184</v>
      </c>
      <c r="Y63" s="187">
        <f t="shared" si="30"/>
        <v>238.95216033917563</v>
      </c>
      <c r="Z63" s="188">
        <v>0</v>
      </c>
      <c r="AA63" s="187">
        <f>AB62*Configurations!$E$48</f>
        <v>108.96939016256647</v>
      </c>
      <c r="AB63" s="187">
        <f t="shared" si="31"/>
        <v>435.87756065026588</v>
      </c>
      <c r="AC63" s="188">
        <f t="shared" si="32"/>
        <v>1684.4892265408691</v>
      </c>
      <c r="AD63" s="187">
        <f>AC63*Constants!$D$23</f>
        <v>168.44892265408691</v>
      </c>
      <c r="AE63" s="187">
        <f>S63-AD63</f>
        <v>1735.8402656420794</v>
      </c>
      <c r="AF63" s="189">
        <f>AE63*(1+Constants!$D$20)^-H63</f>
        <v>1191.5341523844313</v>
      </c>
    </row>
    <row r="64" spans="8:32" x14ac:dyDescent="0.3">
      <c r="H64" s="172">
        <v>20</v>
      </c>
      <c r="I64" s="186">
        <f>I63*(1-Constants!$D$11)</f>
        <v>0.90461048027461755</v>
      </c>
      <c r="J64" s="173">
        <f t="shared" si="27"/>
        <v>2636.4965172843335</v>
      </c>
      <c r="K64" s="173">
        <f t="shared" si="28"/>
        <v>3195.5384249108042</v>
      </c>
      <c r="L64" s="187">
        <f>IF(J64*'Grid Power'!K37&lt;0,0,J64*'Grid Power'!K37)</f>
        <v>760.30712907146733</v>
      </c>
      <c r="M64" s="188">
        <v>0</v>
      </c>
      <c r="N64" s="188">
        <v>50</v>
      </c>
      <c r="O64" s="188">
        <f>Configurations!$D$39+Configurations!$D$41</f>
        <v>6330.8</v>
      </c>
      <c r="P64" s="188">
        <f>K64*'Grid Power'!L37</f>
        <v>393.77619843506568</v>
      </c>
      <c r="Q64" s="188">
        <v>0</v>
      </c>
      <c r="R64" s="187">
        <f t="shared" si="25"/>
        <v>-6747.3309306364017</v>
      </c>
      <c r="S64" s="187">
        <f>R64+'Analysis (Nothing)'!D25</f>
        <v>-4353.783454958937</v>
      </c>
      <c r="T64" s="187">
        <f>Configurations!$D$39/2</f>
        <v>1862</v>
      </c>
      <c r="U64" s="187">
        <f>V63*Configurations!$C$48</f>
        <v>58.996232088531244</v>
      </c>
      <c r="V64" s="187">
        <f t="shared" si="29"/>
        <v>1999.6578748732393</v>
      </c>
      <c r="W64" s="187">
        <v>0</v>
      </c>
      <c r="X64" s="187">
        <f>Y63*Configurations!$D$48</f>
        <v>23.895216033917563</v>
      </c>
      <c r="Y64" s="187">
        <f t="shared" si="30"/>
        <v>215.05694430525807</v>
      </c>
      <c r="Z64" s="188">
        <f>Configurations!$D$41/2</f>
        <v>1303.4000000000001</v>
      </c>
      <c r="AA64" s="187">
        <f>AB63*Configurations!$E$48</f>
        <v>87.175512130053178</v>
      </c>
      <c r="AB64" s="187">
        <f t="shared" si="31"/>
        <v>1652.1020485202127</v>
      </c>
      <c r="AC64" s="188">
        <f t="shared" si="32"/>
        <v>0</v>
      </c>
      <c r="AD64" s="187">
        <f>AC64*Constants!$D$23</f>
        <v>0</v>
      </c>
      <c r="AE64" s="187">
        <f>S64-AD64</f>
        <v>-4353.783454958937</v>
      </c>
      <c r="AF64" s="189">
        <f>AE64*(1+Constants!$D$20)^-H64</f>
        <v>-2929.9714557475213</v>
      </c>
    </row>
    <row r="65" spans="8:32" x14ac:dyDescent="0.3">
      <c r="H65" s="172">
        <v>21</v>
      </c>
      <c r="I65" s="186">
        <f>I64*(1-Constants!$D$11)</f>
        <v>0.90008742787324447</v>
      </c>
      <c r="J65" s="173">
        <f t="shared" si="27"/>
        <v>2647.3830664880397</v>
      </c>
      <c r="K65" s="173">
        <f t="shared" ref="K65:K84" si="34">$F$18*I65</f>
        <v>3179.5607327862504</v>
      </c>
      <c r="L65" s="187">
        <f>IF(J65*'Grid Power'!K38&lt;0,0,J65*'Grid Power'!K38)</f>
        <v>799.64447830387917</v>
      </c>
      <c r="M65" s="188">
        <v>0</v>
      </c>
      <c r="N65" s="188">
        <v>50</v>
      </c>
      <c r="O65" s="188">
        <v>0</v>
      </c>
      <c r="P65" s="188">
        <f>K65*'Grid Power'!L38</f>
        <v>395.72539061731931</v>
      </c>
      <c r="Q65" s="188">
        <v>0</v>
      </c>
      <c r="R65" s="187">
        <f t="shared" si="25"/>
        <v>-453.91908768655986</v>
      </c>
      <c r="S65" s="187">
        <f>R65+'Analysis (Nothing)'!D26</f>
        <v>2053.1155910937709</v>
      </c>
      <c r="T65" s="187">
        <f>Configurations!$D$39/2</f>
        <v>1862</v>
      </c>
      <c r="U65" s="187">
        <f>V64*Configurations!$C$48</f>
        <v>599.89736246197174</v>
      </c>
      <c r="V65" s="187">
        <f t="shared" ref="V65:V84" si="35">V64+T65-U65</f>
        <v>3261.7605124112674</v>
      </c>
      <c r="W65" s="187">
        <v>1</v>
      </c>
      <c r="X65" s="187">
        <f>Y64*Configurations!$D$48</f>
        <v>21.505694430525807</v>
      </c>
      <c r="Y65" s="187">
        <f t="shared" ref="Y65:Y84" si="36">Y64+W65-X65</f>
        <v>194.55124987473226</v>
      </c>
      <c r="Z65" s="188">
        <f>Configurations!$D$41/2</f>
        <v>1303.4000000000001</v>
      </c>
      <c r="AA65" s="187">
        <f>AB64*Configurations!$E$48</f>
        <v>330.42040970404258</v>
      </c>
      <c r="AB65" s="187">
        <f t="shared" ref="AB65:AB84" si="37">AB64+Z65-AA65</f>
        <v>2625.0816388161707</v>
      </c>
      <c r="AC65" s="188">
        <f t="shared" ref="AC65:AC84" si="38">IF(S65-AA65-X65-U65&lt;0, 0,S65-AA65-X65-U65)</f>
        <v>1101.2921244972308</v>
      </c>
      <c r="AD65" s="187">
        <f>AC65*Constants!$D$23</f>
        <v>110.12921244972308</v>
      </c>
      <c r="AE65" s="187">
        <f t="shared" ref="AE65:AE84" si="39">S65-AD65</f>
        <v>1942.9863786440478</v>
      </c>
      <c r="AF65" s="189">
        <f>AE65*(1+Constants!$D$20)^-H65</f>
        <v>1281.9354249479238</v>
      </c>
    </row>
    <row r="66" spans="8:32" x14ac:dyDescent="0.3">
      <c r="H66" s="172">
        <v>22</v>
      </c>
      <c r="I66" s="186">
        <f>I65*(1-Constants!$D$11)</f>
        <v>0.89558699073387826</v>
      </c>
      <c r="J66" s="173">
        <f t="shared" si="27"/>
        <v>2658.2151829457275</v>
      </c>
      <c r="K66" s="173">
        <f t="shared" si="34"/>
        <v>3163.6629291223194</v>
      </c>
      <c r="L66" s="187">
        <f>IF(J66*'Grid Power'!K39&lt;0,0,J66*'Grid Power'!K39)</f>
        <v>841.05551482272642</v>
      </c>
      <c r="M66" s="188">
        <v>0</v>
      </c>
      <c r="N66" s="188">
        <v>50</v>
      </c>
      <c r="O66" s="188">
        <v>0</v>
      </c>
      <c r="P66" s="188">
        <f>K66*'Grid Power'!L39</f>
        <v>397.68423130087501</v>
      </c>
      <c r="Q66" s="188">
        <v>0</v>
      </c>
      <c r="R66" s="187">
        <f t="shared" si="25"/>
        <v>-493.37128352185141</v>
      </c>
      <c r="S66" s="187">
        <f>R66+'Analysis (Nothing)'!D27</f>
        <v>2132.7496039201451</v>
      </c>
      <c r="T66" s="187">
        <v>0</v>
      </c>
      <c r="U66" s="187">
        <f>V65*Configurations!$C$48</f>
        <v>978.52815372338023</v>
      </c>
      <c r="V66" s="187">
        <f t="shared" si="35"/>
        <v>2283.2323586878874</v>
      </c>
      <c r="W66" s="187">
        <v>2</v>
      </c>
      <c r="X66" s="187">
        <f>Y65*Configurations!$D$48</f>
        <v>19.455124987473226</v>
      </c>
      <c r="Y66" s="187">
        <f t="shared" si="36"/>
        <v>177.09612488725904</v>
      </c>
      <c r="Z66" s="188">
        <v>0</v>
      </c>
      <c r="AA66" s="187">
        <f>AB65*Configurations!$E$48</f>
        <v>525.01632776323413</v>
      </c>
      <c r="AB66" s="187">
        <f t="shared" si="37"/>
        <v>2100.0653110529365</v>
      </c>
      <c r="AC66" s="188">
        <f t="shared" si="38"/>
        <v>609.74999744605748</v>
      </c>
      <c r="AD66" s="187">
        <f>AC66*Constants!$D$23</f>
        <v>60.974999744605753</v>
      </c>
      <c r="AE66" s="187">
        <f t="shared" si="39"/>
        <v>2071.7746041755395</v>
      </c>
      <c r="AF66" s="189">
        <f>AE66*(1+Constants!$D$20)^-H66</f>
        <v>1340.1046878810375</v>
      </c>
    </row>
    <row r="67" spans="8:32" x14ac:dyDescent="0.3">
      <c r="H67" s="172">
        <v>23</v>
      </c>
      <c r="I67" s="186">
        <f>I66*(1-Constants!$D$11)</f>
        <v>0.89110905578020883</v>
      </c>
      <c r="J67" s="173">
        <f t="shared" si="27"/>
        <v>2668.9931388211271</v>
      </c>
      <c r="K67" s="173">
        <f t="shared" si="34"/>
        <v>3147.8446144767076</v>
      </c>
      <c r="L67" s="187">
        <f>IF(J67*'Grid Power'!K40&lt;0,0,J67*'Grid Power'!K40)</f>
        <v>884.65039352323333</v>
      </c>
      <c r="M67" s="188">
        <v>0</v>
      </c>
      <c r="N67" s="188">
        <v>50</v>
      </c>
      <c r="O67" s="188">
        <v>0</v>
      </c>
      <c r="P67" s="188">
        <f>K67*'Grid Power'!L40</f>
        <v>399.65276824581434</v>
      </c>
      <c r="Q67" s="188">
        <v>0</v>
      </c>
      <c r="R67" s="187">
        <f t="shared" si="25"/>
        <v>-534.99762527741905</v>
      </c>
      <c r="S67" s="187">
        <f>R67+'Analysis (Nothing)'!D28</f>
        <v>2216.0898711489526</v>
      </c>
      <c r="T67" s="187">
        <v>0</v>
      </c>
      <c r="U67" s="187">
        <f>V66*Configurations!$C$48</f>
        <v>684.96970760636623</v>
      </c>
      <c r="V67" s="187">
        <f t="shared" si="35"/>
        <v>1598.2626510815212</v>
      </c>
      <c r="W67" s="187">
        <v>3</v>
      </c>
      <c r="X67" s="187">
        <f>Y66*Configurations!$D$48</f>
        <v>17.709612488725906</v>
      </c>
      <c r="Y67" s="187">
        <f t="shared" si="36"/>
        <v>162.38651239853314</v>
      </c>
      <c r="Z67" s="188">
        <v>0</v>
      </c>
      <c r="AA67" s="187">
        <f>AB66*Configurations!$E$48</f>
        <v>420.01306221058735</v>
      </c>
      <c r="AB67" s="187">
        <f t="shared" si="37"/>
        <v>1680.0522488423492</v>
      </c>
      <c r="AC67" s="188">
        <f t="shared" si="38"/>
        <v>1093.3974888432731</v>
      </c>
      <c r="AD67" s="187">
        <f>AC67*Constants!$D$23</f>
        <v>109.33974888432732</v>
      </c>
      <c r="AE67" s="187">
        <f t="shared" si="39"/>
        <v>2106.7501222646251</v>
      </c>
      <c r="AF67" s="189">
        <f>AE67*(1+Constants!$D$20)^-H67</f>
        <v>1336.0080571443002</v>
      </c>
    </row>
    <row r="68" spans="8:32" x14ac:dyDescent="0.3">
      <c r="H68" s="172">
        <v>24</v>
      </c>
      <c r="I68" s="186">
        <f>I67*(1-Constants!$D$11)</f>
        <v>0.88665351050130781</v>
      </c>
      <c r="J68" s="173">
        <f t="shared" si="27"/>
        <v>2679.7172049171495</v>
      </c>
      <c r="K68" s="173">
        <f t="shared" si="34"/>
        <v>3132.1053914043241</v>
      </c>
      <c r="L68" s="187">
        <f>IF(J68*'Grid Power'!K41&lt;0,0,J68*'Grid Power'!K41)</f>
        <v>930.54512374661397</v>
      </c>
      <c r="M68" s="188">
        <v>0</v>
      </c>
      <c r="N68" s="188">
        <v>50</v>
      </c>
      <c r="O68" s="188">
        <v>0</v>
      </c>
      <c r="P68" s="188">
        <f>K68*'Grid Power'!L41</f>
        <v>401.63104944863113</v>
      </c>
      <c r="Q68" s="188">
        <v>0</v>
      </c>
      <c r="R68" s="187">
        <f t="shared" si="25"/>
        <v>-578.91407429798278</v>
      </c>
      <c r="S68" s="187">
        <f>R68+'Analysis (Nothing)'!D29</f>
        <v>2303.3160859329137</v>
      </c>
      <c r="T68" s="187">
        <v>0</v>
      </c>
      <c r="U68" s="187">
        <f>V67*Configurations!$C$48</f>
        <v>479.47879532445631</v>
      </c>
      <c r="V68" s="187">
        <f t="shared" si="35"/>
        <v>1118.7838557570649</v>
      </c>
      <c r="W68" s="187">
        <v>4</v>
      </c>
      <c r="X68" s="187">
        <f>Y67*Configurations!$D$48</f>
        <v>16.238651239853315</v>
      </c>
      <c r="Y68" s="187">
        <f t="shared" si="36"/>
        <v>150.14786115867983</v>
      </c>
      <c r="Z68" s="188">
        <v>0</v>
      </c>
      <c r="AA68" s="187">
        <f>AB67*Configurations!$E$48</f>
        <v>336.01044976846987</v>
      </c>
      <c r="AB68" s="187">
        <f t="shared" si="37"/>
        <v>1344.0417990738792</v>
      </c>
      <c r="AC68" s="188">
        <f t="shared" si="38"/>
        <v>1471.588189600134</v>
      </c>
      <c r="AD68" s="187">
        <f>AC68*Constants!$D$23</f>
        <v>147.15881896001341</v>
      </c>
      <c r="AE68" s="187">
        <f t="shared" si="39"/>
        <v>2156.1572669729003</v>
      </c>
      <c r="AF68" s="189">
        <f>AE68*(1+Constants!$D$20)^-H68</f>
        <v>1340.5293042525448</v>
      </c>
    </row>
    <row r="69" spans="8:32" x14ac:dyDescent="0.3">
      <c r="H69" s="172">
        <v>25</v>
      </c>
      <c r="I69" s="186">
        <f>I68*(1-Constants!$D$11)</f>
        <v>0.8822202429488013</v>
      </c>
      <c r="J69" s="173">
        <f t="shared" si="27"/>
        <v>2690.3876506826919</v>
      </c>
      <c r="K69" s="173">
        <f t="shared" si="34"/>
        <v>3116.4448644473027</v>
      </c>
      <c r="L69" s="187">
        <f>IF(J69*'Grid Power'!K42&lt;0,0,J69*'Grid Power'!K42)</f>
        <v>978.86187956811352</v>
      </c>
      <c r="M69" s="188">
        <v>0</v>
      </c>
      <c r="N69" s="188">
        <v>50</v>
      </c>
      <c r="O69" s="188">
        <v>0</v>
      </c>
      <c r="P69" s="188">
        <f>K69*'Grid Power'!L42</f>
        <v>403.61912314340185</v>
      </c>
      <c r="Q69" s="188">
        <v>0</v>
      </c>
      <c r="R69" s="187">
        <f t="shared" si="25"/>
        <v>-625.24275642471184</v>
      </c>
      <c r="S69" s="187">
        <f>R69+'Analysis (Nothing)'!D30</f>
        <v>2394.6167618974496</v>
      </c>
      <c r="T69" s="187">
        <v>0</v>
      </c>
      <c r="U69" s="187">
        <f>V68*Configurations!$C$48</f>
        <v>335.63515672711947</v>
      </c>
      <c r="V69" s="187">
        <f t="shared" si="35"/>
        <v>783.14869902994542</v>
      </c>
      <c r="W69" s="187">
        <v>5</v>
      </c>
      <c r="X69" s="187">
        <f>Y68*Configurations!$D$48</f>
        <v>15.014786115867985</v>
      </c>
      <c r="Y69" s="187">
        <f t="shared" si="36"/>
        <v>140.13307504281184</v>
      </c>
      <c r="Z69" s="188">
        <v>0</v>
      </c>
      <c r="AA69" s="187">
        <f>AB68*Configurations!$E$48</f>
        <v>268.80835981477588</v>
      </c>
      <c r="AB69" s="187">
        <f t="shared" si="37"/>
        <v>1075.2334392591033</v>
      </c>
      <c r="AC69" s="188">
        <f t="shared" si="38"/>
        <v>1775.1584592396862</v>
      </c>
      <c r="AD69" s="187">
        <f>AC69*Constants!$D$23</f>
        <v>177.51584592396864</v>
      </c>
      <c r="AE69" s="187">
        <f t="shared" si="39"/>
        <v>2217.1009159734808</v>
      </c>
      <c r="AF69" s="189">
        <f>AE69*(1+Constants!$D$20)^-H69</f>
        <v>1351.3914513623613</v>
      </c>
    </row>
    <row r="70" spans="8:32" x14ac:dyDescent="0.3">
      <c r="H70" s="172">
        <v>26</v>
      </c>
      <c r="I70" s="186">
        <f>I69*(1-Constants!$D$11)</f>
        <v>0.87780914173405733</v>
      </c>
      <c r="J70" s="173">
        <f t="shared" si="27"/>
        <v>2701.0047442194059</v>
      </c>
      <c r="K70" s="173">
        <f t="shared" si="34"/>
        <v>3100.8626401250663</v>
      </c>
      <c r="L70" s="187">
        <f>IF(J70*'Grid Power'!K43&lt;0,0,J70*'Grid Power'!K43)</f>
        <v>1029.7293264669452</v>
      </c>
      <c r="M70" s="188">
        <v>0</v>
      </c>
      <c r="N70" s="188">
        <v>50</v>
      </c>
      <c r="O70" s="188">
        <v>0</v>
      </c>
      <c r="P70" s="188">
        <f>K70*'Grid Power'!L43</f>
        <v>405.6170378029617</v>
      </c>
      <c r="Q70" s="188">
        <v>0</v>
      </c>
      <c r="R70" s="187">
        <f t="shared" si="25"/>
        <v>-674.11228866398346</v>
      </c>
      <c r="S70" s="187">
        <f>R70+'Analysis (Nothing)'!D31</f>
        <v>2490.1896686503269</v>
      </c>
      <c r="T70" s="187">
        <v>0</v>
      </c>
      <c r="U70" s="187">
        <f>V69*Configurations!$C$48</f>
        <v>234.94460970898362</v>
      </c>
      <c r="V70" s="187">
        <f t="shared" si="35"/>
        <v>548.20408932096177</v>
      </c>
      <c r="W70" s="187">
        <v>6</v>
      </c>
      <c r="X70" s="187">
        <f>Y69*Configurations!$D$48</f>
        <v>14.013307504281185</v>
      </c>
      <c r="Y70" s="187">
        <f t="shared" si="36"/>
        <v>132.11976753853065</v>
      </c>
      <c r="Z70" s="188">
        <v>0</v>
      </c>
      <c r="AA70" s="187">
        <f>AB69*Configurations!$E$48</f>
        <v>215.04668785182068</v>
      </c>
      <c r="AB70" s="187">
        <f t="shared" si="37"/>
        <v>860.1867514072826</v>
      </c>
      <c r="AC70" s="188">
        <f t="shared" si="38"/>
        <v>2026.1850635852416</v>
      </c>
      <c r="AD70" s="187">
        <f>AC70*Constants!$D$23</f>
        <v>202.61850635852417</v>
      </c>
      <c r="AE70" s="187">
        <f t="shared" si="39"/>
        <v>2287.5711622918029</v>
      </c>
      <c r="AF70" s="189">
        <f>AE70*(1+Constants!$D$20)^-H70</f>
        <v>1367.0051391638335</v>
      </c>
    </row>
    <row r="71" spans="8:32" x14ac:dyDescent="0.3">
      <c r="H71" s="172">
        <v>27</v>
      </c>
      <c r="I71" s="186">
        <f>I70*(1-Constants!$D$11)</f>
        <v>0.87342009602538706</v>
      </c>
      <c r="J71" s="173">
        <f t="shared" si="27"/>
        <v>2711.5687522884373</v>
      </c>
      <c r="K71" s="173">
        <f t="shared" si="34"/>
        <v>3085.3583269244409</v>
      </c>
      <c r="L71" s="187">
        <f>IF(J71*'Grid Power'!K44&lt;0,0,J71*'Grid Power'!K44)</f>
        <v>1083.2829652395928</v>
      </c>
      <c r="M71" s="188">
        <v>0</v>
      </c>
      <c r="N71" s="188">
        <v>50</v>
      </c>
      <c r="O71" s="188">
        <v>0</v>
      </c>
      <c r="P71" s="188">
        <f>K71*'Grid Power'!L44</f>
        <v>407.6248421400864</v>
      </c>
      <c r="Q71" s="188">
        <v>0</v>
      </c>
      <c r="R71" s="187">
        <f t="shared" si="25"/>
        <v>-725.65812309950638</v>
      </c>
      <c r="S71" s="187">
        <f>R71+'Analysis (Nothing)'!D32</f>
        <v>2590.2422888738211</v>
      </c>
      <c r="T71" s="187">
        <v>0</v>
      </c>
      <c r="U71" s="187">
        <f>V70*Configurations!$C$48</f>
        <v>164.46122679628851</v>
      </c>
      <c r="V71" s="187">
        <f t="shared" si="35"/>
        <v>383.74286252467323</v>
      </c>
      <c r="W71" s="187">
        <v>7</v>
      </c>
      <c r="X71" s="187">
        <f>Y70*Configurations!$D$48</f>
        <v>13.211976753853065</v>
      </c>
      <c r="Y71" s="187">
        <f t="shared" si="36"/>
        <v>125.90779078467759</v>
      </c>
      <c r="Z71" s="188">
        <v>0</v>
      </c>
      <c r="AA71" s="187">
        <f>AB70*Configurations!$E$48</f>
        <v>172.03735028145653</v>
      </c>
      <c r="AB71" s="187">
        <f t="shared" si="37"/>
        <v>688.1494011258261</v>
      </c>
      <c r="AC71" s="188">
        <f t="shared" si="38"/>
        <v>2240.5317350422233</v>
      </c>
      <c r="AD71" s="187">
        <f>AC71*Constants!$D$23</f>
        <v>224.05317350422234</v>
      </c>
      <c r="AE71" s="187">
        <f t="shared" si="39"/>
        <v>2366.1891153695988</v>
      </c>
      <c r="AF71" s="189">
        <f>AE71*(1+Constants!$D$20)^-H71</f>
        <v>1386.2603915088148</v>
      </c>
    </row>
    <row r="72" spans="8:32" x14ac:dyDescent="0.3">
      <c r="H72" s="172">
        <v>28</v>
      </c>
      <c r="I72" s="186">
        <f>I71*(1-Constants!$D$11)</f>
        <v>0.86905299554526017</v>
      </c>
      <c r="J72" s="173">
        <f t="shared" si="27"/>
        <v>2722.0799403171231</v>
      </c>
      <c r="K72" s="173">
        <f t="shared" si="34"/>
        <v>3069.9315352898188</v>
      </c>
      <c r="L72" s="187">
        <f>IF(J72*'Grid Power'!K45&lt;0,0,J72*'Grid Power'!K45)</f>
        <v>1139.6654940630856</v>
      </c>
      <c r="M72" s="188">
        <v>0</v>
      </c>
      <c r="N72" s="188">
        <v>50</v>
      </c>
      <c r="O72" s="188">
        <v>0</v>
      </c>
      <c r="P72" s="188">
        <f>K72*'Grid Power'!L45</f>
        <v>409.64258510867984</v>
      </c>
      <c r="Q72" s="188">
        <v>0</v>
      </c>
      <c r="R72" s="187">
        <f t="shared" si="25"/>
        <v>-780.02290895440569</v>
      </c>
      <c r="S72" s="187">
        <f>R72+'Analysis (Nothing)'!D33</f>
        <v>2694.9922980719411</v>
      </c>
      <c r="T72" s="187">
        <v>0</v>
      </c>
      <c r="U72" s="187">
        <f>V71*Configurations!$C$48</f>
        <v>115.12285875740196</v>
      </c>
      <c r="V72" s="187">
        <f t="shared" si="35"/>
        <v>268.62000376727127</v>
      </c>
      <c r="W72" s="187">
        <v>8</v>
      </c>
      <c r="X72" s="187">
        <f>Y71*Configurations!$D$48</f>
        <v>12.59077907846776</v>
      </c>
      <c r="Y72" s="187">
        <f t="shared" si="36"/>
        <v>121.31701170620983</v>
      </c>
      <c r="Z72" s="188">
        <v>0</v>
      </c>
      <c r="AA72" s="187">
        <f>AB71*Configurations!$E$48</f>
        <v>137.62988022516524</v>
      </c>
      <c r="AB72" s="187">
        <f t="shared" si="37"/>
        <v>550.51952090066084</v>
      </c>
      <c r="AC72" s="188">
        <f t="shared" si="38"/>
        <v>2429.6487800109062</v>
      </c>
      <c r="AD72" s="187">
        <f>AC72*Constants!$D$23</f>
        <v>242.96487800109063</v>
      </c>
      <c r="AE72" s="187">
        <f t="shared" si="39"/>
        <v>2452.0274200708504</v>
      </c>
      <c r="AF72" s="189">
        <f>AE72*(1+Constants!$D$20)^-H72</f>
        <v>1408.3821530887406</v>
      </c>
    </row>
    <row r="73" spans="8:32" x14ac:dyDescent="0.3">
      <c r="H73" s="172">
        <v>29</v>
      </c>
      <c r="I73" s="186">
        <f>I72*(1-Constants!$D$11)</f>
        <v>0.86470773056753381</v>
      </c>
      <c r="J73" s="173">
        <f t="shared" si="27"/>
        <v>2732.5385724056659</v>
      </c>
      <c r="K73" s="173">
        <f t="shared" si="34"/>
        <v>3054.5818776133697</v>
      </c>
      <c r="L73" s="187">
        <f>IF(J73*'Grid Power'!K46&lt;0,0,J73*'Grid Power'!K46)</f>
        <v>1199.0271896623424</v>
      </c>
      <c r="M73" s="188">
        <v>0</v>
      </c>
      <c r="N73" s="188">
        <v>50</v>
      </c>
      <c r="O73" s="188">
        <v>0</v>
      </c>
      <c r="P73" s="188">
        <f>K73*'Grid Power'!L46</f>
        <v>411.67031590496777</v>
      </c>
      <c r="Q73" s="188">
        <v>0</v>
      </c>
      <c r="R73" s="187">
        <f t="shared" si="25"/>
        <v>-837.35687375737461</v>
      </c>
      <c r="S73" s="187">
        <f>R73+'Analysis (Nothing)'!D34</f>
        <v>2804.6680680986278</v>
      </c>
      <c r="T73" s="187">
        <v>0</v>
      </c>
      <c r="U73" s="187">
        <f>V72*Configurations!$C$48</f>
        <v>80.586001130181373</v>
      </c>
      <c r="V73" s="187">
        <f t="shared" si="35"/>
        <v>188.03400263708988</v>
      </c>
      <c r="W73" s="187">
        <v>9</v>
      </c>
      <c r="X73" s="187">
        <f>Y72*Configurations!$D$48</f>
        <v>12.131701170620984</v>
      </c>
      <c r="Y73" s="187">
        <f t="shared" si="36"/>
        <v>118.18531053558884</v>
      </c>
      <c r="Z73" s="188">
        <v>0</v>
      </c>
      <c r="AA73" s="187">
        <f>AB72*Configurations!$E$48</f>
        <v>110.10390418013218</v>
      </c>
      <c r="AB73" s="187">
        <f t="shared" si="37"/>
        <v>440.41561672052865</v>
      </c>
      <c r="AC73" s="188">
        <f t="shared" si="38"/>
        <v>2601.846461617693</v>
      </c>
      <c r="AD73" s="187">
        <f>AC73*Constants!$D$23</f>
        <v>260.18464616176931</v>
      </c>
      <c r="AE73" s="187">
        <f t="shared" si="39"/>
        <v>2544.4834219368586</v>
      </c>
      <c r="AF73" s="189">
        <f>AE73*(1+Constants!$D$20)^-H73</f>
        <v>1432.8299292381969</v>
      </c>
    </row>
    <row r="74" spans="8:32" x14ac:dyDescent="0.3">
      <c r="H74" s="172">
        <v>30</v>
      </c>
      <c r="I74" s="186">
        <f>I73*(1-Constants!$D$11)</f>
        <v>0.86038419191469617</v>
      </c>
      <c r="J74" s="173">
        <f t="shared" si="27"/>
        <v>2742.944911333765</v>
      </c>
      <c r="K74" s="173">
        <f t="shared" si="34"/>
        <v>3039.3089682253026</v>
      </c>
      <c r="L74" s="187">
        <f>IF(J74*'Grid Power'!K47&lt;0,0,J74*'Grid Power'!K47)</f>
        <v>1261.5263085856579</v>
      </c>
      <c r="M74" s="188">
        <v>0</v>
      </c>
      <c r="N74" s="188">
        <v>50</v>
      </c>
      <c r="O74" s="188">
        <f>Configurations!$D$39+Configurations!$D$41</f>
        <v>6330.8</v>
      </c>
      <c r="P74" s="188">
        <f>K74*'Grid Power'!L47</f>
        <v>413.70808396869734</v>
      </c>
      <c r="Q74" s="188">
        <v>0</v>
      </c>
      <c r="R74" s="187">
        <f t="shared" si="25"/>
        <v>-7228.618224616961</v>
      </c>
      <c r="S74" s="187">
        <f>R74+'Analysis (Nothing)'!D35</f>
        <v>-3411.290804351022</v>
      </c>
      <c r="T74" s="187">
        <f>Configurations!$D$39/2</f>
        <v>1862</v>
      </c>
      <c r="U74" s="187">
        <f>V73*Configurations!$C$48</f>
        <v>56.410200791126961</v>
      </c>
      <c r="V74" s="187">
        <f t="shared" si="35"/>
        <v>1993.623801845963</v>
      </c>
      <c r="W74" s="187">
        <v>10</v>
      </c>
      <c r="X74" s="187">
        <f>Y73*Configurations!$D$48</f>
        <v>11.818531053558885</v>
      </c>
      <c r="Y74" s="187">
        <f t="shared" si="36"/>
        <v>116.36677948202994</v>
      </c>
      <c r="Z74" s="188">
        <f>Configurations!$D$41/2</f>
        <v>1303.4000000000001</v>
      </c>
      <c r="AA74" s="187">
        <f>AB73*Configurations!$E$48</f>
        <v>88.083123344105729</v>
      </c>
      <c r="AB74" s="187">
        <f t="shared" si="37"/>
        <v>1655.732493376423</v>
      </c>
      <c r="AC74" s="188">
        <f t="shared" si="38"/>
        <v>0</v>
      </c>
      <c r="AD74" s="187">
        <f>AC74*Constants!$D$23</f>
        <v>0</v>
      </c>
      <c r="AE74" s="187">
        <f t="shared" si="39"/>
        <v>-3411.290804351022</v>
      </c>
      <c r="AF74" s="189">
        <f>AE74*(1+Constants!$D$20)^-H74</f>
        <v>-1883.2743469270677</v>
      </c>
    </row>
    <row r="75" spans="8:32" x14ac:dyDescent="0.3">
      <c r="H75" s="172">
        <v>31</v>
      </c>
      <c r="I75" s="186">
        <f>I74*(1-Constants!$D$11)</f>
        <v>0.85608227095512268</v>
      </c>
      <c r="J75" s="173">
        <f t="shared" si="27"/>
        <v>2753.2992185672247</v>
      </c>
      <c r="K75" s="173">
        <f t="shared" si="34"/>
        <v>3024.1124233841761</v>
      </c>
      <c r="L75" s="187">
        <f>IF(J75*'Grid Power'!K48&lt;0,0,J75*'Grid Power'!K48)</f>
        <v>1327.3295096449867</v>
      </c>
      <c r="M75" s="188">
        <v>0</v>
      </c>
      <c r="N75" s="188">
        <v>50</v>
      </c>
      <c r="O75" s="188">
        <v>0</v>
      </c>
      <c r="P75" s="188">
        <f>K75*'Grid Power'!L48</f>
        <v>415.75593898434238</v>
      </c>
      <c r="Q75" s="188">
        <v>0</v>
      </c>
      <c r="R75" s="187">
        <f t="shared" si="25"/>
        <v>-961.57357066064435</v>
      </c>
      <c r="S75" s="187">
        <f>R75+'Analysis (Nothing)'!D36</f>
        <v>3039.7670569543952</v>
      </c>
      <c r="T75" s="187">
        <f>Configurations!$D$39/2</f>
        <v>1862</v>
      </c>
      <c r="U75" s="187">
        <f>V74*Configurations!$C$48</f>
        <v>598.08714055378891</v>
      </c>
      <c r="V75" s="187">
        <f t="shared" si="35"/>
        <v>3257.5366612921744</v>
      </c>
      <c r="W75" s="187">
        <v>11</v>
      </c>
      <c r="X75" s="187">
        <f>Y74*Configurations!$D$48</f>
        <v>11.636677948202994</v>
      </c>
      <c r="Y75" s="187">
        <f t="shared" si="36"/>
        <v>115.73010153382694</v>
      </c>
      <c r="Z75" s="188">
        <f>Configurations!$D$41/2</f>
        <v>1303.4000000000001</v>
      </c>
      <c r="AA75" s="187">
        <f>AB74*Configurations!$E$48</f>
        <v>331.14649867528465</v>
      </c>
      <c r="AB75" s="187">
        <f t="shared" si="37"/>
        <v>2627.9859947011382</v>
      </c>
      <c r="AC75" s="188">
        <f t="shared" si="38"/>
        <v>2098.8967397771185</v>
      </c>
      <c r="AD75" s="187">
        <f>AC75*Constants!$D$23</f>
        <v>209.88967397771185</v>
      </c>
      <c r="AE75" s="187">
        <f t="shared" si="39"/>
        <v>2829.8773829766833</v>
      </c>
      <c r="AF75" s="189">
        <f>AE75*(1+Constants!$D$20)^-H75</f>
        <v>1531.6597279647892</v>
      </c>
    </row>
    <row r="76" spans="8:32" x14ac:dyDescent="0.3">
      <c r="H76" s="172">
        <v>32</v>
      </c>
      <c r="I76" s="186">
        <f>I75*(1-Constants!$D$11)</f>
        <v>0.85180185960034704</v>
      </c>
      <c r="J76" s="173">
        <f t="shared" si="27"/>
        <v>2763.6017542645168</v>
      </c>
      <c r="K76" s="173">
        <f t="shared" si="34"/>
        <v>3008.9918612672554</v>
      </c>
      <c r="L76" s="187">
        <f>IF(J76*'Grid Power'!K49&lt;0,0,J76*'Grid Power'!K49)</f>
        <v>1396.6122986329929</v>
      </c>
      <c r="M76" s="188">
        <v>0</v>
      </c>
      <c r="N76" s="188">
        <v>50</v>
      </c>
      <c r="O76" s="188">
        <v>0</v>
      </c>
      <c r="P76" s="188">
        <f>K76*'Grid Power'!L49</f>
        <v>417.81393088231493</v>
      </c>
      <c r="Q76" s="188">
        <v>0</v>
      </c>
      <c r="R76" s="187">
        <f t="shared" si="25"/>
        <v>-1028.7983677506779</v>
      </c>
      <c r="S76" s="187">
        <f>R76+'Analysis (Nothing)'!D37</f>
        <v>3165.7053899844068</v>
      </c>
      <c r="T76" s="187">
        <v>0</v>
      </c>
      <c r="U76" s="187">
        <f>V75*Configurations!$C$48</f>
        <v>977.26099838765231</v>
      </c>
      <c r="V76" s="187">
        <f t="shared" si="35"/>
        <v>2280.2756629045221</v>
      </c>
      <c r="W76" s="187">
        <v>12</v>
      </c>
      <c r="X76" s="187">
        <f>Y75*Configurations!$D$48</f>
        <v>11.573010153382695</v>
      </c>
      <c r="Y76" s="187">
        <f t="shared" si="36"/>
        <v>116.15709138044424</v>
      </c>
      <c r="Z76" s="188">
        <v>0</v>
      </c>
      <c r="AA76" s="187">
        <f>AB75*Configurations!$E$48</f>
        <v>525.59719894022771</v>
      </c>
      <c r="AB76" s="187">
        <f t="shared" si="37"/>
        <v>2102.3887957609104</v>
      </c>
      <c r="AC76" s="188">
        <f t="shared" si="38"/>
        <v>1651.2741825031439</v>
      </c>
      <c r="AD76" s="187">
        <f>AC76*Constants!$D$23</f>
        <v>165.12741825031441</v>
      </c>
      <c r="AE76" s="187">
        <f t="shared" si="39"/>
        <v>3000.5779717340924</v>
      </c>
      <c r="AF76" s="189">
        <f>AE76*(1+Constants!$D$20)^-H76</f>
        <v>1592.2066016039807</v>
      </c>
    </row>
    <row r="77" spans="8:32" x14ac:dyDescent="0.3">
      <c r="H77" s="172">
        <v>33</v>
      </c>
      <c r="I77" s="186">
        <f>I76*(1-Constants!$D$11)</f>
        <v>0.84754285030234533</v>
      </c>
      <c r="J77" s="173">
        <f t="shared" si="27"/>
        <v>2773.8527772833222</v>
      </c>
      <c r="K77" s="173">
        <f t="shared" si="34"/>
        <v>2993.9469019609191</v>
      </c>
      <c r="L77" s="187">
        <f>IF(J77*'Grid Power'!K50&lt;0,0,J77*'Grid Power'!K50)</f>
        <v>1469.5594964870786</v>
      </c>
      <c r="M77" s="188">
        <v>0</v>
      </c>
      <c r="N77" s="188">
        <v>50</v>
      </c>
      <c r="O77" s="188">
        <v>0</v>
      </c>
      <c r="P77" s="188">
        <f>K77*'Grid Power'!L50</f>
        <v>419.88210984018241</v>
      </c>
      <c r="Q77" s="188">
        <v>0</v>
      </c>
      <c r="R77" s="187">
        <f t="shared" si="25"/>
        <v>-1099.6773866468961</v>
      </c>
      <c r="S77" s="187">
        <f>R77+'Analysis (Nothing)'!D38</f>
        <v>3297.6009055228137</v>
      </c>
      <c r="T77" s="187">
        <v>0</v>
      </c>
      <c r="U77" s="187">
        <f>V76*Configurations!$C$48</f>
        <v>684.08269887135657</v>
      </c>
      <c r="V77" s="187">
        <f t="shared" si="35"/>
        <v>1596.1929640331655</v>
      </c>
      <c r="W77" s="187">
        <v>13</v>
      </c>
      <c r="X77" s="187">
        <f>Y76*Configurations!$D$48</f>
        <v>11.615709138044425</v>
      </c>
      <c r="Y77" s="187">
        <f t="shared" si="36"/>
        <v>117.54138224239981</v>
      </c>
      <c r="Z77" s="188">
        <v>0</v>
      </c>
      <c r="AA77" s="187">
        <f>AB76*Configurations!$E$48</f>
        <v>420.4777591521821</v>
      </c>
      <c r="AB77" s="187">
        <f t="shared" si="37"/>
        <v>1681.9110366087284</v>
      </c>
      <c r="AC77" s="188">
        <f t="shared" si="38"/>
        <v>2181.4247383612305</v>
      </c>
      <c r="AD77" s="187">
        <f>AC77*Constants!$D$23</f>
        <v>218.14247383612306</v>
      </c>
      <c r="AE77" s="187">
        <f t="shared" si="39"/>
        <v>3079.4584316866908</v>
      </c>
      <c r="AF77" s="189">
        <f>AE77*(1+Constants!$D$20)^-H77</f>
        <v>1602.0227457368931</v>
      </c>
    </row>
    <row r="78" spans="8:32" x14ac:dyDescent="0.3">
      <c r="H78" s="172">
        <v>34</v>
      </c>
      <c r="I78" s="186">
        <f>I77*(1-Constants!$D$11)</f>
        <v>0.84330513605083357</v>
      </c>
      <c r="J78" s="173">
        <f t="shared" si="27"/>
        <v>2784.052545187033</v>
      </c>
      <c r="K78" s="173">
        <f t="shared" si="34"/>
        <v>2978.9771674511144</v>
      </c>
      <c r="L78" s="187">
        <f>IF(J78*'Grid Power'!K51&lt;0,0,J78*'Grid Power'!K51)</f>
        <v>1546.365732131816</v>
      </c>
      <c r="M78" s="188">
        <v>0</v>
      </c>
      <c r="N78" s="188">
        <v>50</v>
      </c>
      <c r="O78" s="188">
        <v>0</v>
      </c>
      <c r="P78" s="188">
        <f>K78*'Grid Power'!L51</f>
        <v>421.96052628389128</v>
      </c>
      <c r="Q78" s="188">
        <v>0</v>
      </c>
      <c r="R78" s="187">
        <f t="shared" si="25"/>
        <v>-1174.4052058479247</v>
      </c>
      <c r="S78" s="187">
        <f>R78+'Analysis (Nothing)'!D39</f>
        <v>3435.7439285539585</v>
      </c>
      <c r="T78" s="187">
        <v>0</v>
      </c>
      <c r="U78" s="187">
        <f>V77*Configurations!$C$48</f>
        <v>478.85788920994963</v>
      </c>
      <c r="V78" s="187">
        <f t="shared" si="35"/>
        <v>1117.3350748232158</v>
      </c>
      <c r="W78" s="187">
        <v>14</v>
      </c>
      <c r="X78" s="187">
        <f>Y77*Configurations!$D$48</f>
        <v>11.754138224239981</v>
      </c>
      <c r="Y78" s="187">
        <f t="shared" si="36"/>
        <v>119.78724401815983</v>
      </c>
      <c r="Z78" s="188">
        <v>0</v>
      </c>
      <c r="AA78" s="187">
        <f>AB77*Configurations!$E$48</f>
        <v>336.38220732174568</v>
      </c>
      <c r="AB78" s="187">
        <f t="shared" si="37"/>
        <v>1345.5288292869827</v>
      </c>
      <c r="AC78" s="188">
        <f t="shared" si="38"/>
        <v>2608.7496937980236</v>
      </c>
      <c r="AD78" s="187">
        <f>AC78*Constants!$D$23</f>
        <v>260.87496937980239</v>
      </c>
      <c r="AE78" s="187">
        <f t="shared" si="39"/>
        <v>3174.8689591741563</v>
      </c>
      <c r="AF78" s="189">
        <f>AE78*(1+Constants!$D$20)^-H78</f>
        <v>1619.2725913520571</v>
      </c>
    </row>
    <row r="79" spans="8:32" x14ac:dyDescent="0.3">
      <c r="H79" s="172">
        <v>35</v>
      </c>
      <c r="I79" s="186">
        <f>I78*(1-Constants!$D$11)</f>
        <v>0.83908861037057936</v>
      </c>
      <c r="J79" s="173">
        <f t="shared" si="27"/>
        <v>2794.2013142512264</v>
      </c>
      <c r="K79" s="173">
        <f t="shared" si="34"/>
        <v>2964.0822816138584</v>
      </c>
      <c r="L79" s="187">
        <f>IF(J79*'Grid Power'!K52&lt;0,0,J79*'Grid Power'!K52)</f>
        <v>1627.2359612956934</v>
      </c>
      <c r="M79" s="188">
        <v>0</v>
      </c>
      <c r="N79" s="188">
        <v>50</v>
      </c>
      <c r="O79" s="188">
        <v>0</v>
      </c>
      <c r="P79" s="188">
        <f>K79*'Grid Power'!L52</f>
        <v>424.04923088899648</v>
      </c>
      <c r="Q79" s="188">
        <v>0</v>
      </c>
      <c r="R79" s="187">
        <f t="shared" si="25"/>
        <v>-1253.1867304066968</v>
      </c>
      <c r="S79" s="187">
        <f>R79+'Analysis (Nothing)'!D40</f>
        <v>3580.4390714664937</v>
      </c>
      <c r="T79" s="187">
        <v>0</v>
      </c>
      <c r="U79" s="187">
        <f>V78*Configurations!$C$48</f>
        <v>335.20052244696473</v>
      </c>
      <c r="V79" s="187">
        <f t="shared" si="35"/>
        <v>782.13455237625112</v>
      </c>
      <c r="W79" s="187">
        <v>15</v>
      </c>
      <c r="X79" s="187">
        <f>Y78*Configurations!$D$48</f>
        <v>11.978724401815983</v>
      </c>
      <c r="Y79" s="187">
        <f t="shared" si="36"/>
        <v>122.80851961634383</v>
      </c>
      <c r="Z79" s="188">
        <v>0</v>
      </c>
      <c r="AA79" s="187">
        <f>AB78*Configurations!$E$48</f>
        <v>269.10576585739653</v>
      </c>
      <c r="AB79" s="187">
        <f t="shared" si="37"/>
        <v>1076.4230634295861</v>
      </c>
      <c r="AC79" s="188">
        <f t="shared" si="38"/>
        <v>2964.1540587603163</v>
      </c>
      <c r="AD79" s="187">
        <f>AC79*Constants!$D$23</f>
        <v>296.41540587603163</v>
      </c>
      <c r="AE79" s="187">
        <f t="shared" si="39"/>
        <v>3284.0236655904619</v>
      </c>
      <c r="AF79" s="189">
        <f>AE79*(1+Constants!$D$20)^-H79</f>
        <v>1642.10251572065</v>
      </c>
    </row>
    <row r="80" spans="8:32" x14ac:dyDescent="0.3">
      <c r="H80" s="172">
        <v>36</v>
      </c>
      <c r="I80" s="186">
        <f>I79*(1-Constants!$D$11)</f>
        <v>0.83489316731872643</v>
      </c>
      <c r="J80" s="173">
        <f t="shared" si="27"/>
        <v>2804.2993394700979</v>
      </c>
      <c r="K80" s="173">
        <f t="shared" si="34"/>
        <v>2949.2618702057894</v>
      </c>
      <c r="L80" s="187">
        <f>IF(J80*'Grid Power'!K53&lt;0,0,J80*'Grid Power'!K53)</f>
        <v>1712.3860126658644</v>
      </c>
      <c r="M80" s="188">
        <v>0</v>
      </c>
      <c r="N80" s="188">
        <v>50</v>
      </c>
      <c r="O80" s="188">
        <v>0</v>
      </c>
      <c r="P80" s="188">
        <f>K80*'Grid Power'!L53</f>
        <v>426.14827458189706</v>
      </c>
      <c r="Q80" s="188">
        <v>0</v>
      </c>
      <c r="R80" s="187">
        <f t="shared" si="25"/>
        <v>-1336.2377380839673</v>
      </c>
      <c r="S80" s="187">
        <f>R80+'Analysis (Nothing)'!D41</f>
        <v>3732.005940657139</v>
      </c>
      <c r="T80" s="187">
        <v>0</v>
      </c>
      <c r="U80" s="187">
        <f>V79*Configurations!$C$48</f>
        <v>234.64036571287534</v>
      </c>
      <c r="V80" s="187">
        <f t="shared" si="35"/>
        <v>547.49418666337579</v>
      </c>
      <c r="W80" s="187">
        <v>16</v>
      </c>
      <c r="X80" s="187">
        <f>Y79*Configurations!$D$48</f>
        <v>12.280851961634383</v>
      </c>
      <c r="Y80" s="187">
        <f t="shared" si="36"/>
        <v>126.52766765470945</v>
      </c>
      <c r="Z80" s="188">
        <v>0</v>
      </c>
      <c r="AA80" s="187">
        <f>AB79*Configurations!$E$48</f>
        <v>215.28461268591724</v>
      </c>
      <c r="AB80" s="187">
        <f t="shared" si="37"/>
        <v>861.13845074366895</v>
      </c>
      <c r="AC80" s="188">
        <f t="shared" si="38"/>
        <v>3269.8001102967123</v>
      </c>
      <c r="AD80" s="187">
        <f>AC80*Constants!$D$23</f>
        <v>326.98001102967123</v>
      </c>
      <c r="AE80" s="187">
        <f t="shared" si="39"/>
        <v>3405.025929627468</v>
      </c>
      <c r="AF80" s="189">
        <f>AE80*(1+Constants!$D$20)^-H80</f>
        <v>1669.2225382530839</v>
      </c>
    </row>
    <row r="81" spans="8:32" x14ac:dyDescent="0.3">
      <c r="H81" s="172">
        <v>37</v>
      </c>
      <c r="I81" s="186">
        <f>I80*(1-Constants!$D$11)</f>
        <v>0.83071870148213278</v>
      </c>
      <c r="J81" s="173">
        <f t="shared" si="27"/>
        <v>2814.3468745628757</v>
      </c>
      <c r="K81" s="173">
        <f t="shared" si="34"/>
        <v>2934.5155608547602</v>
      </c>
      <c r="L81" s="187">
        <f>IF(J81*'Grid Power'!K54&lt;0,0,J81*'Grid Power'!K54)</f>
        <v>1802.0431628159693</v>
      </c>
      <c r="M81" s="188">
        <v>0</v>
      </c>
      <c r="N81" s="188">
        <v>50</v>
      </c>
      <c r="O81" s="188">
        <v>0</v>
      </c>
      <c r="P81" s="188">
        <f>K81*'Grid Power'!L54</f>
        <v>428.25770854107742</v>
      </c>
      <c r="Q81" s="188">
        <v>0</v>
      </c>
      <c r="R81" s="187">
        <f t="shared" si="25"/>
        <v>-1423.7854542748919</v>
      </c>
      <c r="S81" s="187">
        <f>R81+'Analysis (Nothing)'!D42</f>
        <v>3890.7798781957845</v>
      </c>
      <c r="T81" s="187">
        <v>0</v>
      </c>
      <c r="U81" s="187">
        <f>V80*Configurations!$C$48</f>
        <v>164.24825599901274</v>
      </c>
      <c r="V81" s="187">
        <f t="shared" si="35"/>
        <v>383.24593066436307</v>
      </c>
      <c r="W81" s="187">
        <v>17</v>
      </c>
      <c r="X81" s="187">
        <f>Y80*Configurations!$D$48</f>
        <v>12.652766765470945</v>
      </c>
      <c r="Y81" s="187">
        <f t="shared" si="36"/>
        <v>130.87490088923849</v>
      </c>
      <c r="Z81" s="188">
        <v>0</v>
      </c>
      <c r="AA81" s="187">
        <f>AB80*Configurations!$E$48</f>
        <v>172.22769014873381</v>
      </c>
      <c r="AB81" s="187">
        <f t="shared" si="37"/>
        <v>688.91076059493514</v>
      </c>
      <c r="AC81" s="188">
        <f t="shared" si="38"/>
        <v>3541.651165282567</v>
      </c>
      <c r="AD81" s="187">
        <f>AC81*Constants!$D$23</f>
        <v>354.1651165282567</v>
      </c>
      <c r="AE81" s="187">
        <f t="shared" si="39"/>
        <v>3536.614761667528</v>
      </c>
      <c r="AF81" s="189">
        <f>AE81*(1+Constants!$D$20)^-H81</f>
        <v>1699.7357157322897</v>
      </c>
    </row>
    <row r="82" spans="8:32" x14ac:dyDescent="0.3">
      <c r="H82" s="172">
        <v>38</v>
      </c>
      <c r="I82" s="186">
        <f>I81*(1-Constants!$D$11)</f>
        <v>0.82656510797472216</v>
      </c>
      <c r="J82" s="173">
        <f t="shared" si="27"/>
        <v>2824.3441719801899</v>
      </c>
      <c r="K82" s="173">
        <f t="shared" si="34"/>
        <v>2919.8429830504865</v>
      </c>
      <c r="L82" s="187">
        <f>IF(J82*'Grid Power'!K55&lt;0,0,J82*'Grid Power'!K55)</f>
        <v>1896.4467414171336</v>
      </c>
      <c r="M82" s="188">
        <v>0</v>
      </c>
      <c r="N82" s="188">
        <v>50</v>
      </c>
      <c r="O82" s="188">
        <v>0</v>
      </c>
      <c r="P82" s="188">
        <f>K82*'Grid Power'!L55</f>
        <v>430.37758419835575</v>
      </c>
      <c r="Q82" s="188">
        <v>0</v>
      </c>
      <c r="R82" s="187">
        <f t="shared" si="25"/>
        <v>-1516.0691572187779</v>
      </c>
      <c r="S82" s="187">
        <f>R82+'Analysis (Nothing)'!D43</f>
        <v>4057.1127402961802</v>
      </c>
      <c r="T82" s="187">
        <v>0</v>
      </c>
      <c r="U82" s="187">
        <f>V81*Configurations!$C$48</f>
        <v>114.97377919930892</v>
      </c>
      <c r="V82" s="187">
        <f t="shared" si="35"/>
        <v>268.27215146505415</v>
      </c>
      <c r="W82" s="187">
        <v>18</v>
      </c>
      <c r="X82" s="187">
        <f>Y81*Configurations!$D$48</f>
        <v>13.08749008892385</v>
      </c>
      <c r="Y82" s="187">
        <f t="shared" si="36"/>
        <v>135.78741080031463</v>
      </c>
      <c r="Z82" s="188">
        <v>0</v>
      </c>
      <c r="AA82" s="187">
        <f>AB81*Configurations!$E$48</f>
        <v>137.78215211898703</v>
      </c>
      <c r="AB82" s="187">
        <f t="shared" si="37"/>
        <v>551.12860847594811</v>
      </c>
      <c r="AC82" s="188">
        <f t="shared" si="38"/>
        <v>3791.2693188889602</v>
      </c>
      <c r="AD82" s="187">
        <f>AC82*Constants!$D$23</f>
        <v>379.12693188889602</v>
      </c>
      <c r="AE82" s="187">
        <f t="shared" si="39"/>
        <v>3677.9858084072839</v>
      </c>
      <c r="AF82" s="189">
        <f>AE82*(1+Constants!$D$20)^-H82</f>
        <v>1733.0197904155073</v>
      </c>
    </row>
    <row r="83" spans="8:32" x14ac:dyDescent="0.3">
      <c r="H83" s="172">
        <v>39</v>
      </c>
      <c r="I83" s="186">
        <f>I82*(1-Constants!$D$11)</f>
        <v>0.82243228243484856</v>
      </c>
      <c r="J83" s="173">
        <f t="shared" si="27"/>
        <v>2834.291482910417</v>
      </c>
      <c r="K83" s="173">
        <f t="shared" si="34"/>
        <v>2905.2437681352339</v>
      </c>
      <c r="L83" s="187">
        <f>IF(J83*'Grid Power'!K56&lt;0,0,J83*'Grid Power'!K56)</f>
        <v>1995.8487683212609</v>
      </c>
      <c r="M83" s="188">
        <v>0</v>
      </c>
      <c r="N83" s="188">
        <v>50</v>
      </c>
      <c r="O83" s="188">
        <v>0</v>
      </c>
      <c r="P83" s="188">
        <f>K83*'Grid Power'!L56</f>
        <v>432.50795324013757</v>
      </c>
      <c r="Q83" s="188">
        <v>0</v>
      </c>
      <c r="R83" s="187">
        <f t="shared" si="25"/>
        <v>-1613.3408150811233</v>
      </c>
      <c r="S83" s="187">
        <f>R83+'Analysis (Nothing)'!D44</f>
        <v>4231.3737144233164</v>
      </c>
      <c r="T83" s="187">
        <v>0</v>
      </c>
      <c r="U83" s="187">
        <f>V82*Configurations!$C$48</f>
        <v>80.481645439516242</v>
      </c>
      <c r="V83" s="187">
        <f t="shared" si="35"/>
        <v>187.79050602553792</v>
      </c>
      <c r="W83" s="187">
        <v>19</v>
      </c>
      <c r="X83" s="187">
        <f>Y82*Configurations!$D$48</f>
        <v>13.578741080031463</v>
      </c>
      <c r="Y83" s="187">
        <f t="shared" si="36"/>
        <v>141.20866972028318</v>
      </c>
      <c r="Z83" s="188">
        <v>0</v>
      </c>
      <c r="AA83" s="187">
        <f>AB82*Configurations!$E$48</f>
        <v>110.22572169518963</v>
      </c>
      <c r="AB83" s="187">
        <f t="shared" si="37"/>
        <v>440.90288678075848</v>
      </c>
      <c r="AC83" s="188">
        <f t="shared" si="38"/>
        <v>4027.0876062085795</v>
      </c>
      <c r="AD83" s="187">
        <f>AC83*Constants!$D$23</f>
        <v>402.70876062085796</v>
      </c>
      <c r="AE83" s="187">
        <f t="shared" si="39"/>
        <v>3828.6649538024585</v>
      </c>
      <c r="AF83" s="189">
        <f>AE83*(1+Constants!$D$20)^-H83</f>
        <v>1768.644973743415</v>
      </c>
    </row>
    <row r="84" spans="8:32" x14ac:dyDescent="0.3">
      <c r="H84" s="190">
        <v>40</v>
      </c>
      <c r="I84" s="191">
        <f>I83*(1-Constants!$D$11)</f>
        <v>0.81832012102267426</v>
      </c>
      <c r="J84" s="192">
        <f t="shared" si="27"/>
        <v>2844.1890572859925</v>
      </c>
      <c r="K84" s="192">
        <f t="shared" si="34"/>
        <v>2890.717549294558</v>
      </c>
      <c r="L84" s="193">
        <f>IF(J84*'Grid Power'!K57&lt;0,0,J84*'Grid Power'!K57)</f>
        <v>2100.5146241888219</v>
      </c>
      <c r="M84" s="194">
        <v>0</v>
      </c>
      <c r="N84" s="194">
        <v>50</v>
      </c>
      <c r="O84" s="194">
        <v>0</v>
      </c>
      <c r="P84" s="194">
        <f>K84*'Grid Power'!L57</f>
        <v>434.64886760867626</v>
      </c>
      <c r="Q84" s="194">
        <f t="shared" ref="Q84" si="40">V84+Y84+AB84</f>
        <v>631.26346639073824</v>
      </c>
      <c r="R84" s="193">
        <f t="shared" si="25"/>
        <v>-1084.6022901894075</v>
      </c>
      <c r="S84" s="193">
        <f>R84+'Analysis (Nothing)'!D45</f>
        <v>5045.2136433507349</v>
      </c>
      <c r="T84" s="193">
        <v>0</v>
      </c>
      <c r="U84" s="193">
        <f>V83*Configurations!$C$48</f>
        <v>56.337151807661378</v>
      </c>
      <c r="V84" s="193">
        <f t="shared" si="35"/>
        <v>131.45335421787655</v>
      </c>
      <c r="W84" s="193">
        <v>20</v>
      </c>
      <c r="X84" s="193">
        <f>Y83*Configurations!$D$48</f>
        <v>14.120866972028319</v>
      </c>
      <c r="Y84" s="193">
        <f t="shared" si="36"/>
        <v>147.08780274825486</v>
      </c>
      <c r="Z84" s="194">
        <v>0</v>
      </c>
      <c r="AA84" s="193">
        <f>AB83*Configurations!$E$48</f>
        <v>88.180577356151701</v>
      </c>
      <c r="AB84" s="193">
        <f t="shared" si="37"/>
        <v>352.72230942460681</v>
      </c>
      <c r="AC84" s="194">
        <f t="shared" si="38"/>
        <v>4886.5750472148939</v>
      </c>
      <c r="AD84" s="193">
        <f>AC84*Constants!$D$23</f>
        <v>488.65750472148943</v>
      </c>
      <c r="AE84" s="193">
        <f t="shared" si="39"/>
        <v>4556.5561386292457</v>
      </c>
      <c r="AF84" s="195">
        <f>AE84*(1+Constants!$D$20)^-H84</f>
        <v>2063.6206014386366</v>
      </c>
    </row>
    <row r="85" spans="8:32" x14ac:dyDescent="0.3">
      <c r="H85" s="196"/>
      <c r="I85" s="186"/>
      <c r="J85" s="173"/>
      <c r="K85" s="173"/>
      <c r="L85" s="187"/>
      <c r="M85" s="188"/>
      <c r="N85" s="188"/>
      <c r="O85" s="188"/>
      <c r="P85" s="188"/>
      <c r="Q85" s="188"/>
      <c r="R85" s="187"/>
      <c r="S85" s="187"/>
      <c r="T85" s="187"/>
      <c r="U85" s="187"/>
      <c r="V85" s="187"/>
      <c r="W85" s="187"/>
      <c r="X85" s="187"/>
      <c r="Y85" s="187"/>
      <c r="Z85" s="188"/>
      <c r="AA85" s="187"/>
      <c r="AB85" s="187"/>
      <c r="AC85" s="188"/>
      <c r="AD85" s="187"/>
      <c r="AE85" s="187"/>
      <c r="AF85" s="202"/>
    </row>
    <row r="86" spans="8:32" x14ac:dyDescent="0.3">
      <c r="H86" s="290" t="s">
        <v>216</v>
      </c>
      <c r="I86" s="290"/>
      <c r="J86" s="290"/>
      <c r="K86" s="290"/>
      <c r="L86" s="290"/>
      <c r="M86" s="290"/>
      <c r="N86" s="290"/>
      <c r="O86" s="188"/>
      <c r="P86" s="188"/>
      <c r="Q86" s="188"/>
      <c r="R86" s="187"/>
      <c r="S86" s="187"/>
      <c r="T86" s="187"/>
      <c r="U86" s="187"/>
      <c r="V86" s="187"/>
      <c r="W86" s="187"/>
      <c r="X86" s="187"/>
      <c r="Y86" s="187"/>
      <c r="Z86" s="188"/>
      <c r="AA86" s="187"/>
      <c r="AB86" s="187"/>
      <c r="AC86" s="188"/>
      <c r="AD86" s="187"/>
      <c r="AE86" s="187"/>
      <c r="AF86" s="202"/>
    </row>
    <row r="87" spans="8:32" x14ac:dyDescent="0.3">
      <c r="H87" s="291" t="s">
        <v>184</v>
      </c>
      <c r="I87" s="291"/>
      <c r="J87" s="291"/>
      <c r="K87" s="291"/>
      <c r="L87" s="291"/>
      <c r="M87" s="291" t="s">
        <v>183</v>
      </c>
      <c r="N87" s="291"/>
      <c r="O87" s="188"/>
      <c r="P87" s="188"/>
      <c r="Q87" s="188"/>
      <c r="R87" s="187"/>
      <c r="S87" s="187"/>
      <c r="T87" s="187"/>
      <c r="U87" s="187"/>
      <c r="V87" s="187"/>
      <c r="W87" s="187"/>
      <c r="X87" s="187"/>
      <c r="Y87" s="187"/>
      <c r="Z87" s="188"/>
      <c r="AA87" s="187"/>
      <c r="AB87" s="187"/>
      <c r="AC87" s="188"/>
      <c r="AD87" s="187"/>
      <c r="AE87" s="187"/>
      <c r="AF87" s="202"/>
    </row>
    <row r="88" spans="8:32" x14ac:dyDescent="0.3">
      <c r="H88" s="291" t="str">
        <f>H4</f>
        <v>Year</v>
      </c>
      <c r="I88" s="292" t="str">
        <f>I5</f>
        <v>Solar efficiency</v>
      </c>
      <c r="J88" s="291" t="s">
        <v>180</v>
      </c>
      <c r="K88" s="170" t="s">
        <v>181</v>
      </c>
      <c r="L88" s="170" t="s">
        <v>182</v>
      </c>
      <c r="M88" s="291" t="s">
        <v>185</v>
      </c>
      <c r="N88" s="170" t="s">
        <v>179</v>
      </c>
    </row>
    <row r="89" spans="8:32" x14ac:dyDescent="0.3">
      <c r="H89" s="291"/>
      <c r="I89" s="292"/>
      <c r="J89" s="291"/>
      <c r="K89" s="170" t="s">
        <v>62</v>
      </c>
      <c r="L89" s="170" t="s">
        <v>59</v>
      </c>
      <c r="M89" s="291"/>
      <c r="N89" s="170" t="s">
        <v>59</v>
      </c>
    </row>
    <row r="90" spans="8:32" x14ac:dyDescent="0.3">
      <c r="H90" s="179">
        <v>0</v>
      </c>
      <c r="I90" s="180">
        <v>1</v>
      </c>
      <c r="J90" s="180">
        <f>1-I90</f>
        <v>0</v>
      </c>
      <c r="K90" s="225">
        <f>J90*$C$18</f>
        <v>0</v>
      </c>
      <c r="L90" s="182">
        <f>K90*'Grid Power'!K17</f>
        <v>0</v>
      </c>
      <c r="M90" s="226">
        <f>H90</f>
        <v>0</v>
      </c>
      <c r="N90" s="227">
        <v>0</v>
      </c>
    </row>
    <row r="91" spans="8:32" x14ac:dyDescent="0.3">
      <c r="H91" s="172">
        <v>1</v>
      </c>
      <c r="I91" s="186">
        <f>I90*(1-Constants!$D$11)</f>
        <v>0.995</v>
      </c>
      <c r="J91" s="204">
        <f t="shared" ref="J91:J130" si="41">1-I91</f>
        <v>5.0000000000000044E-3</v>
      </c>
      <c r="K91" s="205">
        <f t="shared" ref="K91:K130" si="42">J91*$C$18</f>
        <v>47.128194625158564</v>
      </c>
      <c r="L91" s="187">
        <f>K91*'Grid Power'!K18</f>
        <v>5.7402444559016512</v>
      </c>
      <c r="M91" s="196">
        <f>H91</f>
        <v>1</v>
      </c>
      <c r="N91" s="178">
        <f>PMT(Constants!$D$21,M91,-NPV(Constants!$D$21,$J$91:L91))+Configurations!$D$38/M91</f>
        <v>6568.1712597038504</v>
      </c>
      <c r="O91" s="206">
        <f>MIN($N$91:$N$130)</f>
        <v>449.683942072501</v>
      </c>
    </row>
    <row r="92" spans="8:32" x14ac:dyDescent="0.3">
      <c r="H92" s="172">
        <v>2</v>
      </c>
      <c r="I92" s="186">
        <f>I91*(1-Constants!$D$11)</f>
        <v>0.99002500000000004</v>
      </c>
      <c r="J92" s="204">
        <f t="shared" si="41"/>
        <v>9.9749999999999561E-3</v>
      </c>
      <c r="K92" s="205">
        <f t="shared" si="42"/>
        <v>94.020748277190833</v>
      </c>
      <c r="L92" s="187">
        <f>K92*'Grid Power'!K19</f>
        <v>11.971522794934156</v>
      </c>
      <c r="M92" s="196">
        <f t="shared" ref="M92:M130" si="43">H92</f>
        <v>2</v>
      </c>
      <c r="N92" s="178">
        <f>PMT(Constants!$D$21,M92,-NPV(Constants!$D$21,$J$91:L92))+Configurations!$D$38/M92</f>
        <v>3332.093421885862</v>
      </c>
      <c r="O92" s="206">
        <f t="shared" ref="O92:O130" si="44">MIN($N$91:$N$130)</f>
        <v>449.683942072501</v>
      </c>
    </row>
    <row r="93" spans="8:32" x14ac:dyDescent="0.3">
      <c r="H93" s="172">
        <v>3</v>
      </c>
      <c r="I93" s="186">
        <f>I92*(1-Constants!$D$11)</f>
        <v>0.98507487500000002</v>
      </c>
      <c r="J93" s="204">
        <f t="shared" si="41"/>
        <v>1.4925124999999984E-2</v>
      </c>
      <c r="K93" s="205">
        <f t="shared" si="42"/>
        <v>140.67883916096366</v>
      </c>
      <c r="L93" s="187">
        <f>K93*'Grid Power'!K20</f>
        <v>18.727627386284937</v>
      </c>
      <c r="M93" s="196">
        <f t="shared" si="43"/>
        <v>3</v>
      </c>
      <c r="N93" s="178">
        <f>PMT(Constants!$D$21,M93,-NPV(Constants!$D$21,$J$91:L93))+Configurations!$D$38/M93</f>
        <v>2266.4562885048581</v>
      </c>
      <c r="O93" s="206">
        <f t="shared" si="44"/>
        <v>449.683942072501</v>
      </c>
    </row>
    <row r="94" spans="8:32" x14ac:dyDescent="0.3">
      <c r="H94" s="172">
        <v>4</v>
      </c>
      <c r="I94" s="186">
        <f>I93*(1-Constants!$D$11)</f>
        <v>0.98014950062500006</v>
      </c>
      <c r="J94" s="204">
        <f t="shared" si="41"/>
        <v>1.9850499374999941E-2</v>
      </c>
      <c r="K94" s="205">
        <f t="shared" si="42"/>
        <v>187.10363959031696</v>
      </c>
      <c r="L94" s="187">
        <f>K94*'Grid Power'!K21</f>
        <v>26.04448568348722</v>
      </c>
      <c r="M94" s="196">
        <f t="shared" si="43"/>
        <v>4</v>
      </c>
      <c r="N94" s="178">
        <f>PMT(Constants!$D$21,M94,-NPV(Constants!$D$21,$J$91:L94))+Configurations!$D$38/M94</f>
        <v>1742.1570886286956</v>
      </c>
      <c r="O94" s="206">
        <f t="shared" si="44"/>
        <v>449.683942072501</v>
      </c>
    </row>
    <row r="95" spans="8:32" x14ac:dyDescent="0.3">
      <c r="H95" s="172">
        <v>5</v>
      </c>
      <c r="I95" s="186">
        <f>I94*(1-Constants!$D$11)</f>
        <v>0.97524875312187509</v>
      </c>
      <c r="J95" s="204">
        <f t="shared" si="41"/>
        <v>2.4751246878124911E-2</v>
      </c>
      <c r="K95" s="205">
        <f t="shared" si="42"/>
        <v>233.29631601752362</v>
      </c>
      <c r="L95" s="187">
        <f>K95*'Grid Power'!K22</f>
        <v>33.960288509078552</v>
      </c>
      <c r="M95" s="196">
        <f t="shared" si="43"/>
        <v>5</v>
      </c>
      <c r="N95" s="178">
        <f>PMT(Constants!$D$21,M95,-NPV(Constants!$D$21,$J$91:L95))+Configurations!$D$38/M95</f>
        <v>1433.4820673286379</v>
      </c>
      <c r="O95" s="206">
        <f t="shared" si="44"/>
        <v>449.683942072501</v>
      </c>
    </row>
    <row r="96" spans="8:32" x14ac:dyDescent="0.3">
      <c r="H96" s="172">
        <v>6</v>
      </c>
      <c r="I96" s="186">
        <f>I95*(1-Constants!$D$11)</f>
        <v>0.97037250935626573</v>
      </c>
      <c r="J96" s="204">
        <f t="shared" si="41"/>
        <v>2.9627490643734267E-2</v>
      </c>
      <c r="K96" s="205">
        <f t="shared" si="42"/>
        <v>279.25802906259435</v>
      </c>
      <c r="L96" s="187">
        <f>K96*'Grid Power'!K23</f>
        <v>42.515625786681333</v>
      </c>
      <c r="M96" s="196">
        <f t="shared" si="43"/>
        <v>6</v>
      </c>
      <c r="N96" s="178">
        <f>PMT(Constants!$D$21,M96,-NPV(Constants!$D$21,$J$91:L96))+Configurations!$D$38/M96</f>
        <v>1231.9406160032261</v>
      </c>
      <c r="O96" s="206">
        <f t="shared" si="44"/>
        <v>449.683942072501</v>
      </c>
    </row>
    <row r="97" spans="8:15" x14ac:dyDescent="0.3">
      <c r="H97" s="172">
        <v>7</v>
      </c>
      <c r="I97" s="186">
        <f>I96*(1-Constants!$D$11)</f>
        <v>0.96552064680948435</v>
      </c>
      <c r="J97" s="204">
        <f t="shared" si="41"/>
        <v>3.4479353190515649E-2</v>
      </c>
      <c r="K97" s="205">
        <f t="shared" si="42"/>
        <v>324.98993354244038</v>
      </c>
      <c r="L97" s="187">
        <f>K97*'Grid Power'!K24</f>
        <v>51.75363014219802</v>
      </c>
      <c r="M97" s="196">
        <f t="shared" si="43"/>
        <v>7</v>
      </c>
      <c r="N97" s="178">
        <f>PMT(Constants!$D$21,M97,-NPV(Constants!$D$21,$J$91:L97))+Configurations!$D$38/M97</f>
        <v>1091.0993460994248</v>
      </c>
      <c r="O97" s="206">
        <f t="shared" si="44"/>
        <v>449.683942072501</v>
      </c>
    </row>
    <row r="98" spans="8:15" x14ac:dyDescent="0.3">
      <c r="H98" s="172">
        <v>8</v>
      </c>
      <c r="I98" s="186">
        <f>I97*(1-Constants!$D$11)</f>
        <v>0.96069304357543694</v>
      </c>
      <c r="J98" s="204">
        <f t="shared" si="41"/>
        <v>3.9306956424563055E-2</v>
      </c>
      <c r="K98" s="205">
        <f t="shared" si="42"/>
        <v>370.49317849988654</v>
      </c>
      <c r="L98" s="187">
        <f>K98*'Grid Power'!K25</f>
        <v>61.720128819244621</v>
      </c>
      <c r="M98" s="196">
        <f t="shared" si="43"/>
        <v>8</v>
      </c>
      <c r="N98" s="178">
        <f>PMT(Constants!$D$21,M98,-NPV(Constants!$D$21,$J$91:L98))+Configurations!$D$38/M98</f>
        <v>987.79111018016454</v>
      </c>
      <c r="O98" s="206">
        <f t="shared" si="44"/>
        <v>449.683942072501</v>
      </c>
    </row>
    <row r="99" spans="8:15" x14ac:dyDescent="0.3">
      <c r="H99" s="172">
        <v>9</v>
      </c>
      <c r="I99" s="186">
        <f>I98*(1-Constants!$D$11)</f>
        <v>0.95588957835755972</v>
      </c>
      <c r="J99" s="204">
        <f t="shared" si="41"/>
        <v>4.4110421642440278E-2</v>
      </c>
      <c r="K99" s="205">
        <f t="shared" si="42"/>
        <v>415.76890723254598</v>
      </c>
      <c r="L99" s="187">
        <f>K99*'Grid Power'!K26</f>
        <v>72.463804378666524</v>
      </c>
      <c r="M99" s="196">
        <f t="shared" si="43"/>
        <v>9</v>
      </c>
      <c r="N99" s="178">
        <f>PMT(Constants!$D$21,M99,-NPV(Constants!$D$21,$J$91:L99))+Configurations!$D$38/M99</f>
        <v>909.1850851271613</v>
      </c>
      <c r="O99" s="206">
        <f t="shared" si="44"/>
        <v>449.683942072501</v>
      </c>
    </row>
    <row r="100" spans="8:15" x14ac:dyDescent="0.3">
      <c r="H100" s="172">
        <v>10</v>
      </c>
      <c r="I100" s="186">
        <f>I99*(1-Constants!$D$11)</f>
        <v>0.95111013046577186</v>
      </c>
      <c r="J100" s="204">
        <f t="shared" si="41"/>
        <v>4.8889869534228136E-2</v>
      </c>
      <c r="K100" s="205">
        <f t="shared" si="42"/>
        <v>460.81825732154238</v>
      </c>
      <c r="L100" s="187">
        <f>K100*'Grid Power'!K27</f>
        <v>84.036364678046354</v>
      </c>
      <c r="M100" s="196">
        <f t="shared" si="43"/>
        <v>10</v>
      </c>
      <c r="N100" s="178">
        <f>PMT(Constants!$D$21,M100,-NPV(Constants!$D$21,$J$91:L100))+Configurations!$D$38/M100</f>
        <v>847.61514312604061</v>
      </c>
      <c r="O100" s="206">
        <f t="shared" si="44"/>
        <v>449.683942072501</v>
      </c>
    </row>
    <row r="101" spans="8:15" x14ac:dyDescent="0.3">
      <c r="H101" s="172">
        <v>11</v>
      </c>
      <c r="I101" s="186">
        <f>I100*(1-Constants!$D$11)</f>
        <v>0.94635457981344295</v>
      </c>
      <c r="J101" s="204">
        <f t="shared" si="41"/>
        <v>5.3645420186557047E-2</v>
      </c>
      <c r="K101" s="205">
        <f t="shared" si="42"/>
        <v>505.64236066009363</v>
      </c>
      <c r="L101" s="187">
        <f>K101*'Grid Power'!K28</f>
        <v>96.492722654616003</v>
      </c>
      <c r="M101" s="196">
        <f t="shared" si="43"/>
        <v>11</v>
      </c>
      <c r="N101" s="178">
        <f>PMT(Constants!$D$21,M101,-NPV(Constants!$D$21,$J$91:L101))+Configurations!$D$38/M101</f>
        <v>798.22939241065046</v>
      </c>
      <c r="O101" s="206">
        <f t="shared" si="44"/>
        <v>449.683942072501</v>
      </c>
    </row>
    <row r="102" spans="8:15" x14ac:dyDescent="0.3">
      <c r="H102" s="172">
        <v>12</v>
      </c>
      <c r="I102" s="186">
        <f>I101*(1-Constants!$D$11)</f>
        <v>0.94162280691437572</v>
      </c>
      <c r="J102" s="204">
        <f t="shared" si="41"/>
        <v>5.8377193085624279E-2</v>
      </c>
      <c r="K102" s="205">
        <f t="shared" si="42"/>
        <v>550.24234348195182</v>
      </c>
      <c r="L102" s="187">
        <f>K102*'Grid Power'!K29</f>
        <v>109.89118646398062</v>
      </c>
      <c r="M102" s="196">
        <f t="shared" si="43"/>
        <v>12</v>
      </c>
      <c r="N102" s="178">
        <f>PMT(Constants!$D$21,M102,-NPV(Constants!$D$21,$J$91:L102))+Configurations!$D$38/M102</f>
        <v>757.81518366509454</v>
      </c>
      <c r="O102" s="206">
        <f t="shared" si="44"/>
        <v>449.683942072501</v>
      </c>
    </row>
    <row r="103" spans="8:15" x14ac:dyDescent="0.3">
      <c r="H103" s="172">
        <v>13</v>
      </c>
      <c r="I103" s="186">
        <f>I102*(1-Constants!$D$11)</f>
        <v>0.93691469287980389</v>
      </c>
      <c r="J103" s="204">
        <f t="shared" si="41"/>
        <v>6.308530712019611E-2</v>
      </c>
      <c r="K103" s="205">
        <f t="shared" si="42"/>
        <v>594.61932638970018</v>
      </c>
      <c r="L103" s="187">
        <f>K103*'Grid Power'!K30</f>
        <v>124.29366055764966</v>
      </c>
      <c r="M103" s="196">
        <f t="shared" si="43"/>
        <v>13</v>
      </c>
      <c r="N103" s="178">
        <f>PMT(Constants!$D$21,M103,-NPV(Constants!$D$21,$J$91:L103))+Configurations!$D$38/M103</f>
        <v>724.16662058991665</v>
      </c>
      <c r="O103" s="206">
        <f t="shared" si="44"/>
        <v>449.683942072501</v>
      </c>
    </row>
    <row r="104" spans="8:15" x14ac:dyDescent="0.3">
      <c r="H104" s="172">
        <v>14</v>
      </c>
      <c r="I104" s="186">
        <f>I103*(1-Constants!$D$11)</f>
        <v>0.9322301194154049</v>
      </c>
      <c r="J104" s="204">
        <f t="shared" si="41"/>
        <v>6.7769880584595099E-2</v>
      </c>
      <c r="K104" s="205">
        <f t="shared" si="42"/>
        <v>638.77442438290996</v>
      </c>
      <c r="L104" s="187">
        <f>K104*'Grid Power'!K31</f>
        <v>139.76585831462589</v>
      </c>
      <c r="M104" s="196">
        <f t="shared" si="43"/>
        <v>14</v>
      </c>
      <c r="N104" s="178">
        <f>PMT(Constants!$D$21,M104,-NPV(Constants!$D$21,$J$91:L104))+Configurations!$D$38/M104</f>
        <v>695.72330680967139</v>
      </c>
      <c r="O104" s="206">
        <f t="shared" si="44"/>
        <v>449.683942072501</v>
      </c>
    </row>
    <row r="105" spans="8:15" x14ac:dyDescent="0.3">
      <c r="H105" s="172">
        <v>15</v>
      </c>
      <c r="I105" s="186">
        <f>I104*(1-Constants!$D$11)</f>
        <v>0.92756896881832784</v>
      </c>
      <c r="J105" s="204">
        <f t="shared" si="41"/>
        <v>7.2431031181672156E-2</v>
      </c>
      <c r="K105" s="205">
        <f t="shared" si="42"/>
        <v>682.70874688615424</v>
      </c>
      <c r="L105" s="187">
        <f>K105*'Grid Power'!K32</f>
        <v>156.37752687631783</v>
      </c>
      <c r="M105" s="196">
        <f t="shared" si="43"/>
        <v>15</v>
      </c>
      <c r="N105" s="178">
        <f>PMT(Constants!$D$21,M105,-NPV(Constants!$D$21,$J$91:L105))+Configurations!$D$38/M105</f>
        <v>671.35373866589066</v>
      </c>
      <c r="O105" s="206">
        <f t="shared" si="44"/>
        <v>449.683942072501</v>
      </c>
    </row>
    <row r="106" spans="8:15" x14ac:dyDescent="0.3">
      <c r="H106" s="172">
        <v>16</v>
      </c>
      <c r="I106" s="186">
        <f>I105*(1-Constants!$D$11)</f>
        <v>0.92293112397423616</v>
      </c>
      <c r="J106" s="204">
        <f t="shared" si="41"/>
        <v>7.7068876025763844E-2</v>
      </c>
      <c r="K106" s="205">
        <f t="shared" si="42"/>
        <v>726.42339777688244</v>
      </c>
      <c r="L106" s="187">
        <f>K106*'Grid Power'!K33</f>
        <v>174.20268486991503</v>
      </c>
      <c r="M106" s="196">
        <f t="shared" si="43"/>
        <v>16</v>
      </c>
      <c r="N106" s="178">
        <f>PMT(Constants!$D$21,M106,-NPV(Constants!$D$21,$J$91:L106))+Configurations!$D$38/M106</f>
        <v>650.2200496994875</v>
      </c>
      <c r="O106" s="206">
        <f t="shared" si="44"/>
        <v>449.683942072501</v>
      </c>
    </row>
    <row r="107" spans="8:15" x14ac:dyDescent="0.3">
      <c r="H107" s="172">
        <v>17</v>
      </c>
      <c r="I107" s="186">
        <f>I106*(1-Constants!$D$11)</f>
        <v>0.91831646835436498</v>
      </c>
      <c r="J107" s="204">
        <f t="shared" si="41"/>
        <v>8.1683531645635021E-2</v>
      </c>
      <c r="K107" s="205">
        <f t="shared" si="42"/>
        <v>769.91947541315653</v>
      </c>
      <c r="L107" s="187">
        <f>K107*'Grid Power'!K34</f>
        <v>193.31987374319451</v>
      </c>
      <c r="M107" s="196">
        <f t="shared" si="43"/>
        <v>17</v>
      </c>
      <c r="N107" s="178">
        <f>PMT(Constants!$D$21,M107,-NPV(Constants!$D$21,$J$91:L107))+Configurations!$D$38/M107</f>
        <v>631.69059902548724</v>
      </c>
      <c r="O107" s="206">
        <f t="shared" si="44"/>
        <v>449.683942072501</v>
      </c>
    </row>
    <row r="108" spans="8:15" x14ac:dyDescent="0.3">
      <c r="H108" s="172">
        <v>18</v>
      </c>
      <c r="I108" s="186">
        <f>I107*(1-Constants!$D$11)</f>
        <v>0.91372488601259316</v>
      </c>
      <c r="J108" s="204">
        <f t="shared" si="41"/>
        <v>8.6275113987406837E-2</v>
      </c>
      <c r="K108" s="205">
        <f t="shared" si="42"/>
        <v>813.19807266124917</v>
      </c>
      <c r="L108" s="187">
        <f>K108*'Grid Power'!K35</f>
        <v>213.81242347361444</v>
      </c>
      <c r="M108" s="196">
        <f t="shared" si="43"/>
        <v>18</v>
      </c>
      <c r="N108" s="178">
        <f>PMT(Constants!$D$21,M108,-NPV(Constants!$D$21,$J$91:L108))+Configurations!$D$38/M108</f>
        <v>615.28178893572624</v>
      </c>
      <c r="O108" s="206">
        <f t="shared" si="44"/>
        <v>449.683942072501</v>
      </c>
    </row>
    <row r="109" spans="8:15" x14ac:dyDescent="0.3">
      <c r="H109" s="172">
        <v>19</v>
      </c>
      <c r="I109" s="186">
        <f>I108*(1-Constants!$D$11)</f>
        <v>0.90915626158253016</v>
      </c>
      <c r="J109" s="204">
        <f t="shared" si="41"/>
        <v>9.0843738417469844E-2</v>
      </c>
      <c r="K109" s="205">
        <f t="shared" si="42"/>
        <v>856.26027692310174</v>
      </c>
      <c r="L109" s="187">
        <f>K109*'Grid Power'!K36</f>
        <v>235.76873345661505</v>
      </c>
      <c r="M109" s="196">
        <f t="shared" si="43"/>
        <v>19</v>
      </c>
      <c r="N109" s="178">
        <f>PMT(Constants!$D$21,M109,-NPV(Constants!$D$21,$J$91:L109))+Configurations!$D$38/M109</f>
        <v>600.61833549773382</v>
      </c>
      <c r="O109" s="206">
        <f t="shared" si="44"/>
        <v>449.683942072501</v>
      </c>
    </row>
    <row r="110" spans="8:15" x14ac:dyDescent="0.3">
      <c r="H110" s="172">
        <v>20</v>
      </c>
      <c r="I110" s="186">
        <f>I109*(1-Constants!$D$11)</f>
        <v>0.90461048027461755</v>
      </c>
      <c r="J110" s="204">
        <f t="shared" si="41"/>
        <v>9.5389519725382454E-2</v>
      </c>
      <c r="K110" s="205">
        <f t="shared" si="42"/>
        <v>899.10717016364447</v>
      </c>
      <c r="L110" s="187">
        <f>K110*'Grid Power'!K37</f>
        <v>259.28256942240029</v>
      </c>
      <c r="M110" s="196">
        <f t="shared" si="43"/>
        <v>20</v>
      </c>
      <c r="N110" s="178">
        <f>PMT(Constants!$D$21,M110,-NPV(Constants!$D$21,$J$91:L110))+Configurations!$D$38/M110</f>
        <v>587.40552700477792</v>
      </c>
      <c r="O110" s="206">
        <f t="shared" si="44"/>
        <v>449.683942072501</v>
      </c>
    </row>
    <row r="111" spans="8:15" x14ac:dyDescent="0.3">
      <c r="H111" s="172">
        <v>21</v>
      </c>
      <c r="I111" s="186">
        <f>I110*(1-Constants!$D$11)</f>
        <v>0.90008742787324447</v>
      </c>
      <c r="J111" s="204">
        <f t="shared" si="41"/>
        <v>9.9912572126755528E-2</v>
      </c>
      <c r="K111" s="205">
        <f t="shared" si="42"/>
        <v>941.73982893798461</v>
      </c>
      <c r="L111" s="187">
        <f>K111*'Grid Power'!K38</f>
        <v>284.45337727724007</v>
      </c>
      <c r="M111" s="196">
        <f t="shared" si="43"/>
        <v>21</v>
      </c>
      <c r="N111" s="178">
        <f>PMT(Constants!$D$21,M111,-NPV(Constants!$D$21,$J$91:L111))+Configurations!$D$38/M111</f>
        <v>575.40946856521782</v>
      </c>
      <c r="O111" s="206">
        <f t="shared" si="44"/>
        <v>449.683942072501</v>
      </c>
    </row>
    <row r="112" spans="8:15" x14ac:dyDescent="0.3">
      <c r="H112" s="172">
        <v>22</v>
      </c>
      <c r="I112" s="186">
        <f>I111*(1-Constants!$D$11)</f>
        <v>0.89558699073387826</v>
      </c>
      <c r="J112" s="204">
        <f t="shared" si="41"/>
        <v>0.10441300926612174</v>
      </c>
      <c r="K112" s="205">
        <f t="shared" si="42"/>
        <v>984.15932441845302</v>
      </c>
      <c r="L112" s="187">
        <f>K112*'Grid Power'!K39</f>
        <v>311.38661481463987</v>
      </c>
      <c r="M112" s="196">
        <f t="shared" si="43"/>
        <v>22</v>
      </c>
      <c r="N112" s="178">
        <f>PMT(Constants!$D$21,M112,-NPV(Constants!$D$21,$J$91:L112))+Configurations!$D$38/M112</f>
        <v>564.44276674473963</v>
      </c>
      <c r="O112" s="206">
        <f t="shared" si="44"/>
        <v>449.683942072501</v>
      </c>
    </row>
    <row r="113" spans="8:15" x14ac:dyDescent="0.3">
      <c r="H113" s="172">
        <v>23</v>
      </c>
      <c r="I113" s="186">
        <f>I112*(1-Constants!$D$11)</f>
        <v>0.89110905578020883</v>
      </c>
      <c r="J113" s="204">
        <f t="shared" si="41"/>
        <v>0.10889094421979117</v>
      </c>
      <c r="K113" s="205">
        <f t="shared" si="42"/>
        <v>1026.3667224215199</v>
      </c>
      <c r="L113" s="187">
        <f>K113*'Grid Power'!K40</f>
        <v>340.19410229371903</v>
      </c>
      <c r="M113" s="196">
        <f t="shared" si="43"/>
        <v>23</v>
      </c>
      <c r="N113" s="178">
        <f>PMT(Constants!$D$21,M113,-NPV(Constants!$D$21,$J$91:L113))+Configurations!$D$38/M113</f>
        <v>554.35399417294218</v>
      </c>
      <c r="O113" s="206">
        <f t="shared" si="44"/>
        <v>449.683942072501</v>
      </c>
    </row>
    <row r="114" spans="8:15" x14ac:dyDescent="0.3">
      <c r="H114" s="172">
        <v>24</v>
      </c>
      <c r="I114" s="186">
        <f>I113*(1-Constants!$D$11)</f>
        <v>0.88665351050130781</v>
      </c>
      <c r="J114" s="204">
        <f t="shared" si="41"/>
        <v>0.11334648949869219</v>
      </c>
      <c r="K114" s="205">
        <f t="shared" si="42"/>
        <v>1068.3630834345704</v>
      </c>
      <c r="L114" s="187">
        <f>K114*'Grid Power'!K41</f>
        <v>370.99439293694928</v>
      </c>
      <c r="M114" s="196">
        <f t="shared" si="43"/>
        <v>24</v>
      </c>
      <c r="N114" s="178">
        <f>PMT(Constants!$D$21,M114,-NPV(Constants!$D$21,$J$91:L114))+Configurations!$D$38/M114</f>
        <v>545.01982774350313</v>
      </c>
      <c r="O114" s="206">
        <f t="shared" si="44"/>
        <v>449.683942072501</v>
      </c>
    </row>
    <row r="115" spans="8:15" x14ac:dyDescent="0.3">
      <c r="H115" s="172">
        <v>25</v>
      </c>
      <c r="I115" s="186">
        <f>I114*(1-Constants!$D$11)</f>
        <v>0.8822202429488013</v>
      </c>
      <c r="J115" s="204">
        <f t="shared" si="41"/>
        <v>0.1177797570511987</v>
      </c>
      <c r="K115" s="205">
        <f t="shared" si="42"/>
        <v>1110.1494626425558</v>
      </c>
      <c r="L115" s="187">
        <f>K115*'Grid Power'!K42</f>
        <v>403.91316445720196</v>
      </c>
      <c r="M115" s="196">
        <f t="shared" si="43"/>
        <v>25</v>
      </c>
      <c r="N115" s="178">
        <f>PMT(Constants!$D$21,M115,-NPV(Constants!$D$21,$J$91:L115))+Configurations!$D$38/M115</f>
        <v>536.33910838914198</v>
      </c>
      <c r="O115" s="206">
        <f t="shared" si="44"/>
        <v>449.683942072501</v>
      </c>
    </row>
    <row r="116" spans="8:15" x14ac:dyDescent="0.3">
      <c r="H116" s="172">
        <v>26</v>
      </c>
      <c r="I116" s="186">
        <f>I115*(1-Constants!$D$11)</f>
        <v>0.87780914173405733</v>
      </c>
      <c r="J116" s="204">
        <f t="shared" si="41"/>
        <v>0.12219085826594267</v>
      </c>
      <c r="K116" s="205">
        <f t="shared" si="42"/>
        <v>1151.7269099545013</v>
      </c>
      <c r="L116" s="187">
        <f>K116*'Grid Power'!K43</f>
        <v>439.08363278497336</v>
      </c>
      <c r="M116" s="196">
        <f t="shared" si="43"/>
        <v>26</v>
      </c>
      <c r="N116" s="178">
        <f>PMT(Constants!$D$21,M116,-NPV(Constants!$D$21,$J$91:L116))+Configurations!$D$38/M116</f>
        <v>528.22830207999016</v>
      </c>
      <c r="O116" s="206">
        <f t="shared" si="44"/>
        <v>449.683942072501</v>
      </c>
    </row>
    <row r="117" spans="8:15" x14ac:dyDescent="0.3">
      <c r="H117" s="172">
        <v>27</v>
      </c>
      <c r="I117" s="186">
        <f>I116*(1-Constants!$D$11)</f>
        <v>0.87342009602538706</v>
      </c>
      <c r="J117" s="204">
        <f t="shared" si="41"/>
        <v>0.12657990397461294</v>
      </c>
      <c r="K117" s="205">
        <f t="shared" si="42"/>
        <v>1193.0964700298871</v>
      </c>
      <c r="L117" s="187">
        <f>K117*'Grid Power'!K44</f>
        <v>476.64698923089827</v>
      </c>
      <c r="M117" s="196">
        <f t="shared" si="43"/>
        <v>27</v>
      </c>
      <c r="N117" s="178">
        <f>PMT(Constants!$D$21,M117,-NPV(Constants!$D$21,$J$91:L117))+Configurations!$D$38/M117</f>
        <v>520.61799611735466</v>
      </c>
      <c r="O117" s="206">
        <f t="shared" si="44"/>
        <v>449.683942072501</v>
      </c>
    </row>
    <row r="118" spans="8:15" x14ac:dyDescent="0.3">
      <c r="H118" s="172">
        <v>28</v>
      </c>
      <c r="I118" s="186">
        <f>I117*(1-Constants!$D$11)</f>
        <v>0.86905299554526017</v>
      </c>
      <c r="J118" s="204">
        <f t="shared" si="41"/>
        <v>0.13094700445473983</v>
      </c>
      <c r="K118" s="205">
        <f t="shared" si="42"/>
        <v>1234.2591823048958</v>
      </c>
      <c r="L118" s="187">
        <f>K118*'Grid Power'!K45</f>
        <v>516.75286238637614</v>
      </c>
      <c r="M118" s="196">
        <f t="shared" si="43"/>
        <v>28</v>
      </c>
      <c r="N118" s="178">
        <f>PMT(Constants!$D$21,M118,-NPV(Constants!$D$21,$J$91:L118))+Configurations!$D$38/M118</f>
        <v>513.45016956298059</v>
      </c>
      <c r="O118" s="206">
        <f t="shared" si="44"/>
        <v>449.683942072501</v>
      </c>
    </row>
    <row r="119" spans="8:15" x14ac:dyDescent="0.3">
      <c r="H119" s="172">
        <v>29</v>
      </c>
      <c r="I119" s="186">
        <f>I118*(1-Constants!$D$11)</f>
        <v>0.86470773056753381</v>
      </c>
      <c r="J119" s="204">
        <f t="shared" si="41"/>
        <v>0.13529226943246619</v>
      </c>
      <c r="K119" s="205">
        <f t="shared" si="42"/>
        <v>1275.2160810185303</v>
      </c>
      <c r="L119" s="187">
        <f>K119*'Grid Power'!K46</f>
        <v>559.55980613651877</v>
      </c>
      <c r="M119" s="196">
        <f t="shared" si="43"/>
        <v>29</v>
      </c>
      <c r="N119" s="178">
        <f>PMT(Constants!$D$21,M119,-NPV(Constants!$D$21,$J$91:L119))+Configurations!$D$38/M119</f>
        <v>506.67604888073265</v>
      </c>
      <c r="O119" s="206">
        <f t="shared" si="44"/>
        <v>449.683942072501</v>
      </c>
    </row>
    <row r="120" spans="8:15" x14ac:dyDescent="0.3">
      <c r="H120" s="172">
        <v>30</v>
      </c>
      <c r="I120" s="186">
        <f>I119*(1-Constants!$D$11)</f>
        <v>0.86038419191469617</v>
      </c>
      <c r="J120" s="204">
        <f t="shared" si="41"/>
        <v>0.13961580808530383</v>
      </c>
      <c r="K120" s="205">
        <f t="shared" si="42"/>
        <v>1315.9681952385959</v>
      </c>
      <c r="L120" s="187">
        <f>K120*'Grid Power'!K47</f>
        <v>605.23581523488713</v>
      </c>
      <c r="M120" s="196">
        <f t="shared" si="43"/>
        <v>30</v>
      </c>
      <c r="N120" s="178">
        <f>PMT(Constants!$D$21,M120,-NPV(Constants!$D$21,$J$91:L120))+Configurations!$D$38/M120</f>
        <v>500.2544104181984</v>
      </c>
      <c r="O120" s="206">
        <f t="shared" si="44"/>
        <v>449.683942072501</v>
      </c>
    </row>
    <row r="121" spans="8:15" x14ac:dyDescent="0.3">
      <c r="H121" s="172">
        <v>31</v>
      </c>
      <c r="I121" s="186">
        <f>I120*(1-Constants!$D$11)</f>
        <v>0.85608227095512268</v>
      </c>
      <c r="J121" s="204">
        <f t="shared" si="41"/>
        <v>0.14391772904487732</v>
      </c>
      <c r="K121" s="205">
        <f t="shared" si="42"/>
        <v>1356.5165488875616</v>
      </c>
      <c r="L121" s="187">
        <f>K121*'Grid Power'!K48</f>
        <v>653.95886996881245</v>
      </c>
      <c r="M121" s="196">
        <f t="shared" si="43"/>
        <v>31</v>
      </c>
      <c r="N121" s="178">
        <f>PMT(Constants!$D$21,M121,-NPV(Constants!$D$21,$J$91:L121))+Configurations!$D$38/M121</f>
        <v>494.15022721676826</v>
      </c>
      <c r="O121" s="206">
        <f t="shared" si="44"/>
        <v>449.683942072501</v>
      </c>
    </row>
    <row r="122" spans="8:15" x14ac:dyDescent="0.3">
      <c r="H122" s="172">
        <v>32</v>
      </c>
      <c r="I122" s="186">
        <f>I121*(1-Constants!$D$11)</f>
        <v>0.85180185960034704</v>
      </c>
      <c r="J122" s="204">
        <f t="shared" si="41"/>
        <v>0.14819814039965296</v>
      </c>
      <c r="K122" s="205">
        <f t="shared" si="42"/>
        <v>1396.8621607682824</v>
      </c>
      <c r="L122" s="187">
        <f>K122*'Grid Power'!K49</f>
        <v>705.91751152771667</v>
      </c>
      <c r="M122" s="196">
        <f t="shared" si="43"/>
        <v>32</v>
      </c>
      <c r="N122" s="178">
        <f>PMT(Constants!$D$21,M122,-NPV(Constants!$D$21,$J$91:L122))+Configurations!$D$38/M122</f>
        <v>488.33358340178927</v>
      </c>
      <c r="O122" s="206">
        <f t="shared" si="44"/>
        <v>449.683942072501</v>
      </c>
    </row>
    <row r="123" spans="8:15" x14ac:dyDescent="0.3">
      <c r="H123" s="172">
        <v>33</v>
      </c>
      <c r="I123" s="186">
        <f>I122*(1-Constants!$D$11)</f>
        <v>0.84754285030234533</v>
      </c>
      <c r="J123" s="204">
        <f t="shared" si="41"/>
        <v>0.15245714969765467</v>
      </c>
      <c r="K123" s="205">
        <f t="shared" si="42"/>
        <v>1437.0060445895995</v>
      </c>
      <c r="L123" s="187">
        <f>K123*'Grid Power'!K50</f>
        <v>761.31144977500139</v>
      </c>
      <c r="M123" s="196">
        <f t="shared" si="43"/>
        <v>33</v>
      </c>
      <c r="N123" s="178">
        <f>PMT(Constants!$D$21,M123,-NPV(Constants!$D$21,$J$91:L123))+Configurations!$D$38/M123</f>
        <v>482.77879813035537</v>
      </c>
      <c r="O123" s="206">
        <f t="shared" si="44"/>
        <v>449.683942072501</v>
      </c>
    </row>
    <row r="124" spans="8:15" x14ac:dyDescent="0.3">
      <c r="H124" s="172">
        <v>34</v>
      </c>
      <c r="I124" s="186">
        <f>I123*(1-Constants!$D$11)</f>
        <v>0.84330513605083357</v>
      </c>
      <c r="J124" s="204">
        <f t="shared" si="41"/>
        <v>0.15669486394916643</v>
      </c>
      <c r="K124" s="205">
        <f t="shared" si="42"/>
        <v>1476.9492089918101</v>
      </c>
      <c r="L124" s="187">
        <f>K124*'Grid Power'!K51</f>
        <v>820.35220521697954</v>
      </c>
      <c r="M124" s="196">
        <f t="shared" si="43"/>
        <v>34</v>
      </c>
      <c r="N124" s="178">
        <f>PMT(Constants!$D$21,M124,-NPV(Constants!$D$21,$J$91:L124))+Configurations!$D$38/M124</f>
        <v>477.46371483373372</v>
      </c>
      <c r="O124" s="206">
        <f t="shared" si="44"/>
        <v>449.683942072501</v>
      </c>
    </row>
    <row r="125" spans="8:15" x14ac:dyDescent="0.3">
      <c r="H125" s="172">
        <v>35</v>
      </c>
      <c r="I125" s="186">
        <f>I124*(1-Constants!$D$11)</f>
        <v>0.83908861037057936</v>
      </c>
      <c r="J125" s="204">
        <f t="shared" si="41"/>
        <v>0.16091138962942064</v>
      </c>
      <c r="K125" s="205">
        <f t="shared" si="42"/>
        <v>1516.6926575720101</v>
      </c>
      <c r="L125" s="187">
        <f>K125*'Grid Power'!K52</f>
        <v>883.26378706026571</v>
      </c>
      <c r="M125" s="196">
        <f t="shared" si="43"/>
        <v>35</v>
      </c>
      <c r="N125" s="178">
        <f>PMT(Constants!$D$21,M125,-NPV(Constants!$D$21,$J$91:L125))+Configurations!$D$38/M125</f>
        <v>472.36912170410068</v>
      </c>
      <c r="O125" s="206">
        <f t="shared" si="44"/>
        <v>449.683942072501</v>
      </c>
    </row>
    <row r="126" spans="8:15" x14ac:dyDescent="0.3">
      <c r="H126" s="172">
        <v>36</v>
      </c>
      <c r="I126" s="186">
        <f>I125*(1-Constants!$D$11)</f>
        <v>0.83489316731872643</v>
      </c>
      <c r="J126" s="204">
        <f t="shared" si="41"/>
        <v>0.16510683268127357</v>
      </c>
      <c r="K126" s="205">
        <f t="shared" si="42"/>
        <v>1556.2373889093089</v>
      </c>
      <c r="L126" s="187">
        <f>K126*'Grid Power'!K53</f>
        <v>950.28340935226447</v>
      </c>
      <c r="M126" s="196">
        <f t="shared" si="43"/>
        <v>36</v>
      </c>
      <c r="N126" s="178">
        <f>PMT(Constants!$D$21,M126,-NPV(Constants!$D$21,$J$91:L126))+Configurations!$D$38/M126</f>
        <v>467.47827702704359</v>
      </c>
      <c r="O126" s="206">
        <f t="shared" si="44"/>
        <v>449.683942072501</v>
      </c>
    </row>
    <row r="127" spans="8:15" x14ac:dyDescent="0.3">
      <c r="H127" s="172">
        <v>37</v>
      </c>
      <c r="I127" s="186">
        <f>I126*(1-Constants!$D$11)</f>
        <v>0.83071870148213278</v>
      </c>
      <c r="J127" s="204">
        <f t="shared" si="41"/>
        <v>0.16928129851786722</v>
      </c>
      <c r="K127" s="205">
        <f t="shared" si="42"/>
        <v>1595.584396589921</v>
      </c>
      <c r="L127" s="187">
        <f>K127*'Grid Power'!K54</f>
        <v>1021.6622473081981</v>
      </c>
      <c r="M127" s="196">
        <f t="shared" si="43"/>
        <v>37</v>
      </c>
      <c r="N127" s="178">
        <f>PMT(Constants!$D$21,M127,-NPV(Constants!$D$21,$J$91:L127))+Configurations!$D$38/M127</f>
        <v>462.77651874490903</v>
      </c>
      <c r="O127" s="206">
        <f t="shared" si="44"/>
        <v>449.683942072501</v>
      </c>
    </row>
    <row r="128" spans="8:15" x14ac:dyDescent="0.3">
      <c r="H128" s="172">
        <v>38</v>
      </c>
      <c r="I128" s="186">
        <f>I127*(1-Constants!$D$11)</f>
        <v>0.82656510797472216</v>
      </c>
      <c r="J128" s="204">
        <f t="shared" si="41"/>
        <v>0.17343489202527784</v>
      </c>
      <c r="K128" s="205">
        <f t="shared" si="42"/>
        <v>1634.7346692321296</v>
      </c>
      <c r="L128" s="187">
        <f>K128*'Grid Power'!K55</f>
        <v>1097.6662360427908</v>
      </c>
      <c r="M128" s="196">
        <f t="shared" si="43"/>
        <v>38</v>
      </c>
      <c r="N128" s="178">
        <f>PMT(Constants!$D$21,M128,-NPV(Constants!$D$21,$J$91:L128))+Configurations!$D$38/M128</f>
        <v>458.25094204371305</v>
      </c>
      <c r="O128" s="206">
        <f t="shared" si="44"/>
        <v>449.683942072501</v>
      </c>
    </row>
    <row r="129" spans="8:15" x14ac:dyDescent="0.3">
      <c r="H129" s="172">
        <v>39</v>
      </c>
      <c r="I129" s="186">
        <f>I128*(1-Constants!$D$11)</f>
        <v>0.82243228243484856</v>
      </c>
      <c r="J129" s="204">
        <f t="shared" si="41"/>
        <v>0.17756771756515144</v>
      </c>
      <c r="K129" s="205">
        <f t="shared" si="42"/>
        <v>1673.6891905111272</v>
      </c>
      <c r="L129" s="187">
        <f>K129*'Grid Power'!K56</f>
        <v>1178.5769140455839</v>
      </c>
      <c r="M129" s="196">
        <f t="shared" si="43"/>
        <v>39</v>
      </c>
      <c r="N129" s="178">
        <f>PMT(Constants!$D$21,M129,-NPV(Constants!$D$21,$J$91:L129))+Configurations!$D$38/M129</f>
        <v>453.89013214126339</v>
      </c>
      <c r="O129" s="206">
        <f t="shared" si="44"/>
        <v>449.683942072501</v>
      </c>
    </row>
    <row r="130" spans="8:15" x14ac:dyDescent="0.3">
      <c r="H130" s="190">
        <v>40</v>
      </c>
      <c r="I130" s="191">
        <f>I129*(1-Constants!$D$11)</f>
        <v>0.81832012102267426</v>
      </c>
      <c r="J130" s="207">
        <f t="shared" si="41"/>
        <v>0.18167987897732574</v>
      </c>
      <c r="K130" s="228">
        <f t="shared" si="42"/>
        <v>1712.4489391837308</v>
      </c>
      <c r="L130" s="193">
        <f>K130*'Grid Power'!K57</f>
        <v>1264.6923138662398</v>
      </c>
      <c r="M130" s="208">
        <f t="shared" si="43"/>
        <v>40</v>
      </c>
      <c r="N130" s="185">
        <f>PMT(Constants!$D$21,M130,-NPV(Constants!$D$21,$J$91:L130))+Configurations!$D$38/M130</f>
        <v>449.683942072501</v>
      </c>
      <c r="O130" s="206">
        <f t="shared" si="44"/>
        <v>449.683942072501</v>
      </c>
    </row>
  </sheetData>
  <mergeCells count="42">
    <mergeCell ref="B3:F3"/>
    <mergeCell ref="I4:K4"/>
    <mergeCell ref="L4:O4"/>
    <mergeCell ref="P4:Q4"/>
    <mergeCell ref="H14:AF14"/>
    <mergeCell ref="R4:S4"/>
    <mergeCell ref="T4:V4"/>
    <mergeCell ref="W4:Y4"/>
    <mergeCell ref="Z4:AB4"/>
    <mergeCell ref="H3:AF3"/>
    <mergeCell ref="H4:H6"/>
    <mergeCell ref="AE4:AF4"/>
    <mergeCell ref="I5:I6"/>
    <mergeCell ref="R15:S15"/>
    <mergeCell ref="T15:V15"/>
    <mergeCell ref="Z41:AB41"/>
    <mergeCell ref="AE41:AF41"/>
    <mergeCell ref="I16:I17"/>
    <mergeCell ref="W15:Y15"/>
    <mergeCell ref="Z15:AB15"/>
    <mergeCell ref="H88:H89"/>
    <mergeCell ref="I88:I89"/>
    <mergeCell ref="J88:J89"/>
    <mergeCell ref="M88:M89"/>
    <mergeCell ref="AE15:AF15"/>
    <mergeCell ref="H40:AF40"/>
    <mergeCell ref="H41:H43"/>
    <mergeCell ref="I41:K41"/>
    <mergeCell ref="L41:O41"/>
    <mergeCell ref="P41:Q41"/>
    <mergeCell ref="R41:S41"/>
    <mergeCell ref="T41:V41"/>
    <mergeCell ref="H15:H17"/>
    <mergeCell ref="I15:K15"/>
    <mergeCell ref="L15:O15"/>
    <mergeCell ref="P15:Q15"/>
    <mergeCell ref="W41:Y41"/>
    <mergeCell ref="B20:B23"/>
    <mergeCell ref="I42:I43"/>
    <mergeCell ref="H86:N86"/>
    <mergeCell ref="H87:L87"/>
    <mergeCell ref="M87:N8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Constants</vt:lpstr>
      <vt:lpstr>Configurations</vt:lpstr>
      <vt:lpstr>Grid Power</vt:lpstr>
      <vt:lpstr>Weather</vt:lpstr>
      <vt:lpstr>Consumption</vt:lpstr>
      <vt:lpstr>Incentives</vt:lpstr>
      <vt:lpstr>Analysis (Nothing)</vt:lpstr>
      <vt:lpstr>Analysis (A)</vt:lpstr>
      <vt:lpstr>Analysis (B)</vt:lpstr>
      <vt:lpstr>Analysis (C)</vt:lpstr>
      <vt:lpstr>Incremental</vt:lpstr>
      <vt:lpstr>Sources</vt:lpstr>
      <vt:lpstr>Sheet2</vt:lpstr>
      <vt:lpstr>'Analysis (A)'!Print_Area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cp:lastPrinted>2018-08-18T05:36:10Z</cp:lastPrinted>
  <dcterms:created xsi:type="dcterms:W3CDTF">2018-08-13T15:26:59Z</dcterms:created>
  <dcterms:modified xsi:type="dcterms:W3CDTF">2018-08-18T06:40:10Z</dcterms:modified>
</cp:coreProperties>
</file>