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chen/OneDrive/Documents/2018 UBC/MECH 431/MECH431/data/"/>
    </mc:Choice>
  </mc:AlternateContent>
  <xr:revisionPtr revIDLastSave="1838" documentId="102_{C2B16FCC-652D-EE4C-A453-90CCD8144001}" xr6:coauthVersionLast="36" xr6:coauthVersionMax="36" xr10:uidLastSave="{935B6888-7521-2646-9E7D-87D9C4AFBBE4}"/>
  <bookViews>
    <workbookView xWindow="0" yWindow="440" windowWidth="38400" windowHeight="20100" tabRatio="582" activeTab="10" xr2:uid="{B79B3171-F36B-48DE-8068-476A01F57370}"/>
  </bookViews>
  <sheets>
    <sheet name="Constants" sheetId="1" r:id="rId1"/>
    <sheet name="Configurations" sheetId="15" r:id="rId2"/>
    <sheet name="Grid Power" sheetId="7" r:id="rId3"/>
    <sheet name="Weather" sheetId="10" r:id="rId4"/>
    <sheet name="Consumption" sheetId="11" r:id="rId5"/>
    <sheet name="Incentives" sheetId="16" r:id="rId6"/>
    <sheet name="Analysis (Nothing)" sheetId="5" r:id="rId7"/>
    <sheet name="Analysis (A)" sheetId="8" r:id="rId8"/>
    <sheet name="Analysis (B)" sheetId="17" r:id="rId9"/>
    <sheet name="Sources" sheetId="4" r:id="rId10"/>
    <sheet name="Capital" sheetId="18" r:id="rId11"/>
  </sheets>
  <definedNames>
    <definedName name="_xlchart.v1.0" hidden="1">'Analysis (A)'!$F$91:$F$130</definedName>
    <definedName name="_xlchart.v1.1" hidden="1">'Analysis (A)'!$J$91:$J$130</definedName>
    <definedName name="_xlchart.v1.10" hidden="1">'Analysis (A)'!$J$91:$J$130</definedName>
    <definedName name="_xlchart.v1.11" hidden="1">'Analysis (A)'!$L$91:$L$130</definedName>
    <definedName name="_xlchart.v1.12" hidden="1">'Analysis (A)'!$F$91:$F$130</definedName>
    <definedName name="_xlchart.v1.13" hidden="1">'Analysis (A)'!$J$91:$J$130</definedName>
    <definedName name="_xlchart.v1.14" hidden="1">'Analysis (A)'!$L$91:$L$130</definedName>
    <definedName name="_xlchart.v1.15" hidden="1">'Analysis (A)'!$F$91:$F$130</definedName>
    <definedName name="_xlchart.v1.16" hidden="1">'Analysis (A)'!$J$91:$J$130</definedName>
    <definedName name="_xlchart.v1.17" hidden="1">'Analysis (A)'!$L$91:$L$130</definedName>
    <definedName name="_xlchart.v1.2" hidden="1">'Analysis (A)'!$L$91:$L$130</definedName>
    <definedName name="_xlchart.v1.3" hidden="1">'Analysis (A)'!$F$91:$F$130</definedName>
    <definedName name="_xlchart.v1.4" hidden="1">'Analysis (A)'!$J$91:$J$130</definedName>
    <definedName name="_xlchart.v1.5" hidden="1">'Analysis (A)'!$L$91:$L$130</definedName>
    <definedName name="_xlchart.v1.6" hidden="1">'Analysis (A)'!$F$91:$F$130</definedName>
    <definedName name="_xlchart.v1.7" hidden="1">'Analysis (A)'!$J$91:$J$130</definedName>
    <definedName name="_xlchart.v1.8" hidden="1">'Analysis (A)'!$L$91:$L$130</definedName>
    <definedName name="_xlchart.v1.9" hidden="1">'Analysis (A)'!$F$91:$F$130</definedName>
    <definedName name="_xlnm.Print_Area" localSheetId="7">'Analysis (A)'!$A$1:$AC$131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2" i="17" l="1"/>
  <c r="N93" i="17"/>
  <c r="O93" i="17" s="1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O94" i="17" s="1"/>
  <c r="N112" i="17"/>
  <c r="N113" i="17"/>
  <c r="N114" i="17"/>
  <c r="N115" i="17"/>
  <c r="O99" i="17" s="1"/>
  <c r="N116" i="17"/>
  <c r="N117" i="17"/>
  <c r="N118" i="17"/>
  <c r="N119" i="17"/>
  <c r="N120" i="17"/>
  <c r="N121" i="17"/>
  <c r="N122" i="17"/>
  <c r="N123" i="17"/>
  <c r="O97" i="17" s="1"/>
  <c r="N124" i="17"/>
  <c r="N125" i="17"/>
  <c r="N126" i="17"/>
  <c r="N127" i="17"/>
  <c r="O113" i="17" s="1"/>
  <c r="N128" i="17"/>
  <c r="N129" i="17"/>
  <c r="N130" i="17"/>
  <c r="N91" i="17"/>
  <c r="O118" i="17"/>
  <c r="O123" i="17"/>
  <c r="O129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90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I91" i="17"/>
  <c r="I92" i="17" s="1"/>
  <c r="M90" i="17"/>
  <c r="J90" i="17"/>
  <c r="I88" i="17"/>
  <c r="H88" i="17"/>
  <c r="N46" i="17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N84" i="17" s="1"/>
  <c r="N45" i="17"/>
  <c r="N20" i="17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19" i="17"/>
  <c r="N9" i="17"/>
  <c r="N10" i="17" s="1"/>
  <c r="N11" i="17" s="1"/>
  <c r="N12" i="17" s="1"/>
  <c r="N8" i="17"/>
  <c r="L46" i="8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45" i="8"/>
  <c r="L20" i="8"/>
  <c r="L21" i="8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19" i="8"/>
  <c r="L9" i="8"/>
  <c r="L10" i="8" s="1"/>
  <c r="L11" i="8" s="1"/>
  <c r="L12" i="8" s="1"/>
  <c r="L8" i="8"/>
  <c r="AA75" i="17"/>
  <c r="AA74" i="17"/>
  <c r="AA65" i="17"/>
  <c r="AA64" i="17"/>
  <c r="U75" i="17"/>
  <c r="U74" i="17"/>
  <c r="U65" i="17"/>
  <c r="U64" i="17"/>
  <c r="O74" i="17"/>
  <c r="O64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45" i="17"/>
  <c r="T44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19" i="17"/>
  <c r="I65" i="17"/>
  <c r="J65" i="17" s="1"/>
  <c r="K65" i="17"/>
  <c r="Q65" i="17" s="1"/>
  <c r="Y65" i="17"/>
  <c r="Z65" i="17" s="1"/>
  <c r="Y66" i="17" s="1"/>
  <c r="I66" i="17"/>
  <c r="AA55" i="17"/>
  <c r="U55" i="17"/>
  <c r="AA54" i="17"/>
  <c r="U54" i="17"/>
  <c r="O54" i="17"/>
  <c r="AA45" i="17"/>
  <c r="X45" i="17"/>
  <c r="U45" i="17"/>
  <c r="K45" i="17"/>
  <c r="Q45" i="17" s="1"/>
  <c r="J45" i="17"/>
  <c r="I45" i="17"/>
  <c r="I46" i="17" s="1"/>
  <c r="AA44" i="17"/>
  <c r="AC44" i="17" s="1"/>
  <c r="Z44" i="17"/>
  <c r="Y44" i="17"/>
  <c r="X44" i="17"/>
  <c r="V44" i="17"/>
  <c r="W44" i="17" s="1"/>
  <c r="U44" i="17"/>
  <c r="Q44" i="17"/>
  <c r="P44" i="17"/>
  <c r="S44" i="17" s="1"/>
  <c r="N44" i="17"/>
  <c r="M44" i="17"/>
  <c r="AA42" i="17"/>
  <c r="X42" i="17"/>
  <c r="U42" i="17"/>
  <c r="AF18" i="17"/>
  <c r="R44" i="8"/>
  <c r="R18" i="8"/>
  <c r="T18" i="17"/>
  <c r="P18" i="17"/>
  <c r="S18" i="17" s="1"/>
  <c r="AA29" i="17"/>
  <c r="AA28" i="17"/>
  <c r="O28" i="17"/>
  <c r="U29" i="17"/>
  <c r="U28" i="17"/>
  <c r="I37" i="17"/>
  <c r="I38" i="17"/>
  <c r="I24" i="17"/>
  <c r="V24" i="17"/>
  <c r="W24" i="17" s="1"/>
  <c r="Y24" i="17"/>
  <c r="Z24" i="17"/>
  <c r="AB24" i="17"/>
  <c r="AC24" i="17" s="1"/>
  <c r="I25" i="17"/>
  <c r="V25" i="17"/>
  <c r="AB25" i="17"/>
  <c r="AA19" i="17"/>
  <c r="X19" i="17"/>
  <c r="U19" i="17"/>
  <c r="I19" i="17"/>
  <c r="I20" i="17" s="1"/>
  <c r="AA18" i="17"/>
  <c r="AC18" i="17" s="1"/>
  <c r="Y18" i="17"/>
  <c r="Z18" i="17" s="1"/>
  <c r="X18" i="17"/>
  <c r="W18" i="17"/>
  <c r="V19" i="17" s="1"/>
  <c r="V18" i="17"/>
  <c r="U18" i="17"/>
  <c r="Q18" i="17"/>
  <c r="N18" i="17"/>
  <c r="M18" i="17"/>
  <c r="AA16" i="17"/>
  <c r="X16" i="17"/>
  <c r="U16" i="17"/>
  <c r="N7" i="17"/>
  <c r="S7" i="17"/>
  <c r="U7" i="17"/>
  <c r="U8" i="17"/>
  <c r="L44" i="8"/>
  <c r="Q18" i="8"/>
  <c r="Q7" i="8"/>
  <c r="L18" i="8"/>
  <c r="L7" i="8"/>
  <c r="D63" i="1"/>
  <c r="G8" i="8"/>
  <c r="G9" i="8" s="1"/>
  <c r="G10" i="8" s="1"/>
  <c r="G11" i="8" s="1"/>
  <c r="G12" i="8" s="1"/>
  <c r="Q7" i="17"/>
  <c r="D7" i="17"/>
  <c r="D8" i="17"/>
  <c r="D9" i="17"/>
  <c r="D10" i="17"/>
  <c r="D11" i="17"/>
  <c r="D12" i="17"/>
  <c r="D13" i="17"/>
  <c r="D14" i="17"/>
  <c r="D15" i="17"/>
  <c r="D16" i="17"/>
  <c r="D17" i="17"/>
  <c r="D6" i="17"/>
  <c r="L16" i="7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Y7" i="17"/>
  <c r="V7" i="17"/>
  <c r="AA5" i="17"/>
  <c r="X5" i="17"/>
  <c r="U5" i="17"/>
  <c r="I8" i="17"/>
  <c r="I9" i="17" s="1"/>
  <c r="I10" i="17" s="1"/>
  <c r="G33" i="15"/>
  <c r="O107" i="17" l="1"/>
  <c r="O102" i="17"/>
  <c r="O92" i="17"/>
  <c r="O127" i="17"/>
  <c r="O122" i="17"/>
  <c r="O117" i="17"/>
  <c r="O111" i="17"/>
  <c r="O106" i="17"/>
  <c r="O101" i="17"/>
  <c r="O95" i="17"/>
  <c r="O91" i="17"/>
  <c r="O121" i="17"/>
  <c r="O105" i="17"/>
  <c r="O126" i="17"/>
  <c r="O115" i="17"/>
  <c r="O110" i="17"/>
  <c r="O130" i="17"/>
  <c r="O125" i="17"/>
  <c r="O119" i="17"/>
  <c r="O114" i="17"/>
  <c r="O109" i="17"/>
  <c r="O103" i="17"/>
  <c r="O98" i="17"/>
  <c r="O128" i="17"/>
  <c r="O124" i="17"/>
  <c r="O120" i="17"/>
  <c r="O116" i="17"/>
  <c r="O112" i="17"/>
  <c r="O108" i="17"/>
  <c r="O104" i="17"/>
  <c r="O100" i="17"/>
  <c r="O96" i="17"/>
  <c r="J92" i="17"/>
  <c r="I93" i="17"/>
  <c r="J91" i="17"/>
  <c r="J66" i="17"/>
  <c r="K66" i="17"/>
  <c r="Q66" i="17" s="1"/>
  <c r="I67" i="17"/>
  <c r="Z66" i="17"/>
  <c r="S65" i="17"/>
  <c r="T65" i="17" s="1"/>
  <c r="V45" i="17"/>
  <c r="W45" i="17" s="1"/>
  <c r="AB45" i="17"/>
  <c r="AC45" i="17" s="1"/>
  <c r="AD44" i="17"/>
  <c r="AE44" i="17" s="1"/>
  <c r="AF44" i="17" s="1"/>
  <c r="AG44" i="17" s="1"/>
  <c r="I47" i="17"/>
  <c r="K46" i="17"/>
  <c r="Q46" i="17" s="1"/>
  <c r="S46" i="17" s="1"/>
  <c r="T46" i="17" s="1"/>
  <c r="J46" i="17"/>
  <c r="S45" i="17"/>
  <c r="T45" i="17" s="1"/>
  <c r="Y45" i="17"/>
  <c r="Z45" i="17" s="1"/>
  <c r="W25" i="17"/>
  <c r="AC25" i="17"/>
  <c r="I26" i="17"/>
  <c r="Y25" i="17"/>
  <c r="Z25" i="17" s="1"/>
  <c r="Z19" i="17"/>
  <c r="Y19" i="17"/>
  <c r="AB19" i="17"/>
  <c r="AC19" i="17" s="1"/>
  <c r="I21" i="17"/>
  <c r="AD18" i="17"/>
  <c r="AE18" i="17" s="1"/>
  <c r="AG18" i="17" s="1"/>
  <c r="W19" i="17"/>
  <c r="D18" i="17"/>
  <c r="I11" i="17"/>
  <c r="C33" i="15"/>
  <c r="Q35" i="1"/>
  <c r="Q33" i="1"/>
  <c r="C32" i="15" s="1"/>
  <c r="N35" i="1"/>
  <c r="N36" i="1"/>
  <c r="N37" i="1"/>
  <c r="N38" i="1"/>
  <c r="N34" i="1"/>
  <c r="E35" i="1"/>
  <c r="E36" i="1"/>
  <c r="E37" i="1"/>
  <c r="E38" i="1"/>
  <c r="E39" i="1"/>
  <c r="E34" i="1"/>
  <c r="G91" i="8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S84" i="8"/>
  <c r="S65" i="8"/>
  <c r="S64" i="8"/>
  <c r="S48" i="8"/>
  <c r="S47" i="8"/>
  <c r="S46" i="8"/>
  <c r="G45" i="8"/>
  <c r="P44" i="8"/>
  <c r="S38" i="8"/>
  <c r="S22" i="8"/>
  <c r="S21" i="8"/>
  <c r="S20" i="8"/>
  <c r="G19" i="8"/>
  <c r="O18" i="8"/>
  <c r="S9" i="8"/>
  <c r="S10" i="8"/>
  <c r="S11" i="8"/>
  <c r="I94" i="17" l="1"/>
  <c r="J93" i="17"/>
  <c r="S66" i="17"/>
  <c r="T66" i="17" s="1"/>
  <c r="K67" i="17"/>
  <c r="Q67" i="17" s="1"/>
  <c r="I68" i="17"/>
  <c r="J67" i="17"/>
  <c r="Y67" i="17"/>
  <c r="Z67" i="17" s="1"/>
  <c r="AB46" i="17"/>
  <c r="AC46" i="17" s="1"/>
  <c r="Y46" i="17"/>
  <c r="Z46" i="17" s="1"/>
  <c r="V46" i="17"/>
  <c r="W46" i="17" s="1"/>
  <c r="AD45" i="17"/>
  <c r="AE45" i="17" s="1"/>
  <c r="AF45" i="17" s="1"/>
  <c r="J47" i="17"/>
  <c r="I48" i="17"/>
  <c r="K47" i="17"/>
  <c r="Q47" i="17" s="1"/>
  <c r="Y26" i="17"/>
  <c r="Z26" i="17" s="1"/>
  <c r="I27" i="17"/>
  <c r="AB26" i="17"/>
  <c r="AC26" i="17"/>
  <c r="W26" i="17"/>
  <c r="V26" i="17"/>
  <c r="AB20" i="17"/>
  <c r="AC20" i="17"/>
  <c r="V20" i="17"/>
  <c r="W20" i="17"/>
  <c r="I22" i="17"/>
  <c r="Y20" i="17"/>
  <c r="Z20" i="17" s="1"/>
  <c r="Q36" i="1"/>
  <c r="I12" i="17"/>
  <c r="C34" i="15"/>
  <c r="D38" i="15" s="1"/>
  <c r="S81" i="8"/>
  <c r="S70" i="8"/>
  <c r="S52" i="8"/>
  <c r="S56" i="8"/>
  <c r="S50" i="8"/>
  <c r="S58" i="8"/>
  <c r="S78" i="8"/>
  <c r="S82" i="8"/>
  <c r="S61" i="8"/>
  <c r="S73" i="8"/>
  <c r="S77" i="8"/>
  <c r="S69" i="8"/>
  <c r="S76" i="8"/>
  <c r="S80" i="8"/>
  <c r="S66" i="8"/>
  <c r="S49" i="8"/>
  <c r="S60" i="8"/>
  <c r="S68" i="8"/>
  <c r="S72" i="8"/>
  <c r="S62" i="8"/>
  <c r="G46" i="8"/>
  <c r="S51" i="8"/>
  <c r="S53" i="8"/>
  <c r="S57" i="8"/>
  <c r="S59" i="8"/>
  <c r="S67" i="8"/>
  <c r="S71" i="8"/>
  <c r="S79" i="8"/>
  <c r="S83" i="8"/>
  <c r="S63" i="8"/>
  <c r="S23" i="8"/>
  <c r="S31" i="8"/>
  <c r="S27" i="8"/>
  <c r="S35" i="8"/>
  <c r="S24" i="8"/>
  <c r="S32" i="8"/>
  <c r="S36" i="8"/>
  <c r="S25" i="8"/>
  <c r="S33" i="8"/>
  <c r="G20" i="8"/>
  <c r="S26" i="8"/>
  <c r="S30" i="8"/>
  <c r="S34" i="8"/>
  <c r="S37" i="8"/>
  <c r="S12" i="8"/>
  <c r="E5" i="5"/>
  <c r="K129" i="8"/>
  <c r="K130" i="8"/>
  <c r="K125" i="8"/>
  <c r="K126" i="8"/>
  <c r="K127" i="8"/>
  <c r="K128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G88" i="8"/>
  <c r="H90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F88" i="8"/>
  <c r="O7" i="8"/>
  <c r="H91" i="8"/>
  <c r="C10" i="11"/>
  <c r="C11" i="11"/>
  <c r="C12" i="11"/>
  <c r="C21" i="11" s="1"/>
  <c r="C13" i="11"/>
  <c r="C14" i="11"/>
  <c r="C15" i="11"/>
  <c r="C16" i="11"/>
  <c r="C17" i="11"/>
  <c r="C18" i="11"/>
  <c r="C19" i="11"/>
  <c r="C20" i="11"/>
  <c r="C9" i="11"/>
  <c r="C24" i="15"/>
  <c r="C17" i="15"/>
  <c r="E7" i="15"/>
  <c r="E8" i="15"/>
  <c r="E9" i="15"/>
  <c r="E6" i="15"/>
  <c r="C15" i="15" s="1"/>
  <c r="N7" i="8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G19" i="10" s="1"/>
  <c r="I19" i="10" s="1"/>
  <c r="C17" i="17" s="1"/>
  <c r="F17" i="17" s="1"/>
  <c r="D8" i="10"/>
  <c r="G8" i="10" s="1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U22" i="1"/>
  <c r="G6" i="7"/>
  <c r="G7" i="7"/>
  <c r="G8" i="7"/>
  <c r="G9" i="7"/>
  <c r="G10" i="7"/>
  <c r="G11" i="7"/>
  <c r="G12" i="7"/>
  <c r="G13" i="7"/>
  <c r="G14" i="7"/>
  <c r="G15" i="7"/>
  <c r="G16" i="7"/>
  <c r="G17" i="7"/>
  <c r="G5" i="7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K17" i="7"/>
  <c r="L25" i="4"/>
  <c r="K28" i="4" s="1"/>
  <c r="K29" i="4" s="1"/>
  <c r="K30" i="4" s="1"/>
  <c r="K31" i="4" s="1"/>
  <c r="C4" i="11"/>
  <c r="D16" i="11"/>
  <c r="D13" i="11"/>
  <c r="D18" i="11"/>
  <c r="D11" i="11"/>
  <c r="D12" i="11"/>
  <c r="D20" i="11"/>
  <c r="J94" i="17" l="1"/>
  <c r="I95" i="17"/>
  <c r="AG45" i="17"/>
  <c r="Y68" i="17"/>
  <c r="Z68" i="17" s="1"/>
  <c r="I69" i="17"/>
  <c r="J68" i="17"/>
  <c r="K68" i="17"/>
  <c r="Q68" i="17" s="1"/>
  <c r="S67" i="17"/>
  <c r="T67" i="17" s="1"/>
  <c r="V47" i="17"/>
  <c r="W47" i="17" s="1"/>
  <c r="Y47" i="17"/>
  <c r="Z47" i="17" s="1"/>
  <c r="AB47" i="17"/>
  <c r="AC47" i="17" s="1"/>
  <c r="I49" i="17"/>
  <c r="K48" i="17"/>
  <c r="Q48" i="17" s="1"/>
  <c r="S48" i="17" s="1"/>
  <c r="T48" i="17" s="1"/>
  <c r="J48" i="17"/>
  <c r="AD46" i="17"/>
  <c r="AE46" i="17" s="1"/>
  <c r="AF46" i="17" s="1"/>
  <c r="AG46" i="17" s="1"/>
  <c r="S47" i="17"/>
  <c r="T47" i="17" s="1"/>
  <c r="I8" i="10"/>
  <c r="E17" i="17"/>
  <c r="Y27" i="17"/>
  <c r="Z27" i="17"/>
  <c r="AB27" i="17"/>
  <c r="AC27" i="17"/>
  <c r="V27" i="17"/>
  <c r="W27" i="17"/>
  <c r="I28" i="17"/>
  <c r="Y21" i="17"/>
  <c r="Z21" i="17"/>
  <c r="V21" i="17"/>
  <c r="W21" i="17" s="1"/>
  <c r="AC21" i="17"/>
  <c r="AB21" i="17"/>
  <c r="I23" i="17"/>
  <c r="C16" i="8"/>
  <c r="C5" i="8"/>
  <c r="N18" i="8"/>
  <c r="N44" i="8"/>
  <c r="D41" i="15"/>
  <c r="D40" i="15"/>
  <c r="E46" i="15" s="1"/>
  <c r="AA7" i="17" s="1"/>
  <c r="AC7" i="17" s="1"/>
  <c r="AB8" i="17" s="1"/>
  <c r="D37" i="15"/>
  <c r="C46" i="15" s="1"/>
  <c r="D39" i="15"/>
  <c r="D46" i="15" s="1"/>
  <c r="M7" i="17"/>
  <c r="D42" i="15"/>
  <c r="D43" i="15"/>
  <c r="G13" i="10"/>
  <c r="I13" i="10" s="1"/>
  <c r="C11" i="17" s="1"/>
  <c r="F11" i="17" s="1"/>
  <c r="G14" i="10"/>
  <c r="I14" i="10" s="1"/>
  <c r="C12" i="17" s="1"/>
  <c r="F12" i="17" s="1"/>
  <c r="G18" i="10"/>
  <c r="I18" i="10" s="1"/>
  <c r="C16" i="17" s="1"/>
  <c r="F16" i="17" s="1"/>
  <c r="G17" i="10"/>
  <c r="I17" i="10" s="1"/>
  <c r="C15" i="17" s="1"/>
  <c r="F15" i="17" s="1"/>
  <c r="G10" i="10"/>
  <c r="I10" i="10" s="1"/>
  <c r="C8" i="17" s="1"/>
  <c r="G15" i="10"/>
  <c r="I15" i="10" s="1"/>
  <c r="C13" i="17" s="1"/>
  <c r="F13" i="17" s="1"/>
  <c r="G12" i="10"/>
  <c r="I12" i="10" s="1"/>
  <c r="C10" i="17" s="1"/>
  <c r="F10" i="17" s="1"/>
  <c r="G9" i="10"/>
  <c r="I9" i="10" s="1"/>
  <c r="C7" i="17" s="1"/>
  <c r="G16" i="10"/>
  <c r="I16" i="10" s="1"/>
  <c r="C14" i="17" s="1"/>
  <c r="F14" i="17" s="1"/>
  <c r="G11" i="10"/>
  <c r="I11" i="10" s="1"/>
  <c r="C9" i="17" s="1"/>
  <c r="F9" i="17" s="1"/>
  <c r="G47" i="8"/>
  <c r="G21" i="8"/>
  <c r="G22" i="8" s="1"/>
  <c r="G23" i="8" s="1"/>
  <c r="G24" i="8" s="1"/>
  <c r="G18" i="7"/>
  <c r="J18" i="7" s="1"/>
  <c r="K18" i="7" s="1"/>
  <c r="C16" i="15"/>
  <c r="D14" i="11"/>
  <c r="D19" i="11"/>
  <c r="D17" i="11"/>
  <c r="D9" i="11"/>
  <c r="D15" i="11"/>
  <c r="I19" i="7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D10" i="11"/>
  <c r="D20" i="7"/>
  <c r="G19" i="7"/>
  <c r="J19" i="7" s="1"/>
  <c r="I96" i="17" l="1"/>
  <c r="J95" i="17"/>
  <c r="Y69" i="17"/>
  <c r="Z69" i="17" s="1"/>
  <c r="S68" i="17"/>
  <c r="T68" i="17" s="1"/>
  <c r="J69" i="17"/>
  <c r="K69" i="17"/>
  <c r="Q69" i="17" s="1"/>
  <c r="I70" i="17"/>
  <c r="AB48" i="17"/>
  <c r="AC48" i="17" s="1"/>
  <c r="Y48" i="17"/>
  <c r="Z48" i="17" s="1"/>
  <c r="V48" i="17"/>
  <c r="W48" i="17"/>
  <c r="AD47" i="17"/>
  <c r="AE47" i="17" s="1"/>
  <c r="AF47" i="17" s="1"/>
  <c r="AG47" i="17" s="1"/>
  <c r="J49" i="17"/>
  <c r="I50" i="17"/>
  <c r="K49" i="17"/>
  <c r="Q49" i="17" s="1"/>
  <c r="C14" i="8"/>
  <c r="C6" i="8"/>
  <c r="E10" i="17"/>
  <c r="E16" i="17"/>
  <c r="C13" i="8"/>
  <c r="C15" i="8"/>
  <c r="E9" i="17"/>
  <c r="E13" i="17"/>
  <c r="E12" i="17"/>
  <c r="C11" i="8"/>
  <c r="C6" i="17"/>
  <c r="N22" i="10"/>
  <c r="F8" i="17"/>
  <c r="E8" i="17"/>
  <c r="C9" i="8"/>
  <c r="L22" i="10"/>
  <c r="E14" i="17"/>
  <c r="E11" i="17"/>
  <c r="C12" i="8"/>
  <c r="F7" i="17"/>
  <c r="E7" i="17"/>
  <c r="E15" i="17"/>
  <c r="C7" i="8"/>
  <c r="C8" i="8"/>
  <c r="C10" i="8"/>
  <c r="V28" i="17"/>
  <c r="W28" i="17"/>
  <c r="AB28" i="17"/>
  <c r="AC28" i="17" s="1"/>
  <c r="Y28" i="17"/>
  <c r="Z28" i="17" s="1"/>
  <c r="I29" i="17"/>
  <c r="V22" i="17"/>
  <c r="W22" i="17"/>
  <c r="AB22" i="17"/>
  <c r="AC22" i="17" s="1"/>
  <c r="Y22" i="17"/>
  <c r="Z22" i="17" s="1"/>
  <c r="AA8" i="17"/>
  <c r="AC8" i="17" s="1"/>
  <c r="AB9" i="17" s="1"/>
  <c r="AC9" i="17" s="1"/>
  <c r="AB10" i="17" s="1"/>
  <c r="AC10" i="17" s="1"/>
  <c r="P7" i="17"/>
  <c r="T7" i="17" s="1"/>
  <c r="AD7" i="17" s="1"/>
  <c r="AE7" i="17" s="1"/>
  <c r="AF7" i="17" s="1"/>
  <c r="AG7" i="17" s="1"/>
  <c r="X8" i="17"/>
  <c r="X7" i="17"/>
  <c r="Z7" i="17" s="1"/>
  <c r="Y8" i="17" s="1"/>
  <c r="W7" i="17"/>
  <c r="V8" i="17" s="1"/>
  <c r="M54" i="8"/>
  <c r="M74" i="8"/>
  <c r="M28" i="8"/>
  <c r="C18" i="15"/>
  <c r="G48" i="8"/>
  <c r="G25" i="8"/>
  <c r="H92" i="8"/>
  <c r="K19" i="7"/>
  <c r="D21" i="7"/>
  <c r="G20" i="7"/>
  <c r="J20" i="7" s="1"/>
  <c r="K20" i="7" s="1"/>
  <c r="C43" i="5"/>
  <c r="C14" i="5"/>
  <c r="C35" i="5"/>
  <c r="C21" i="5"/>
  <c r="C18" i="5"/>
  <c r="C6" i="5"/>
  <c r="D6" i="5" s="1"/>
  <c r="C24" i="5"/>
  <c r="C31" i="5"/>
  <c r="C34" i="5"/>
  <c r="C19" i="5"/>
  <c r="C22" i="5"/>
  <c r="C40" i="5"/>
  <c r="C38" i="5"/>
  <c r="C37" i="5"/>
  <c r="C29" i="5"/>
  <c r="C16" i="5"/>
  <c r="C7" i="5"/>
  <c r="C12" i="5"/>
  <c r="C30" i="5"/>
  <c r="C15" i="5"/>
  <c r="C27" i="5"/>
  <c r="C8" i="5"/>
  <c r="C33" i="5"/>
  <c r="C9" i="5"/>
  <c r="C39" i="5"/>
  <c r="C45" i="5"/>
  <c r="C17" i="5"/>
  <c r="C13" i="5"/>
  <c r="C44" i="5"/>
  <c r="C28" i="5"/>
  <c r="C23" i="5"/>
  <c r="C32" i="5"/>
  <c r="D21" i="11"/>
  <c r="C11" i="5"/>
  <c r="C25" i="5"/>
  <c r="C36" i="5"/>
  <c r="C26" i="5"/>
  <c r="C42" i="5"/>
  <c r="C20" i="5"/>
  <c r="C41" i="5"/>
  <c r="C10" i="5"/>
  <c r="J96" i="17" l="1"/>
  <c r="I97" i="17"/>
  <c r="S69" i="17"/>
  <c r="T69" i="17" s="1"/>
  <c r="Y70" i="17"/>
  <c r="Z70" i="17" s="1"/>
  <c r="J70" i="17"/>
  <c r="K70" i="17"/>
  <c r="Q70" i="17" s="1"/>
  <c r="I71" i="17"/>
  <c r="Y49" i="17"/>
  <c r="Z49" i="17" s="1"/>
  <c r="AB49" i="17"/>
  <c r="AC49" i="17" s="1"/>
  <c r="I51" i="17"/>
  <c r="K50" i="17"/>
  <c r="Q50" i="17" s="1"/>
  <c r="J50" i="17"/>
  <c r="AD48" i="17"/>
  <c r="AE48" i="17" s="1"/>
  <c r="AF48" i="17" s="1"/>
  <c r="AG48" i="17" s="1"/>
  <c r="V49" i="17"/>
  <c r="W49" i="17" s="1"/>
  <c r="S49" i="17"/>
  <c r="T49" i="17" s="1"/>
  <c r="E6" i="17"/>
  <c r="E18" i="17" s="1"/>
  <c r="C18" i="17"/>
  <c r="F6" i="17"/>
  <c r="F18" i="17" s="1"/>
  <c r="AB29" i="17"/>
  <c r="AC29" i="17" s="1"/>
  <c r="Y29" i="17"/>
  <c r="Z29" i="17" s="1"/>
  <c r="V29" i="17"/>
  <c r="W29" i="17" s="1"/>
  <c r="J29" i="17"/>
  <c r="I30" i="17"/>
  <c r="Y23" i="17"/>
  <c r="Z23" i="17"/>
  <c r="AB23" i="17"/>
  <c r="AC23" i="17" s="1"/>
  <c r="W23" i="17"/>
  <c r="V23" i="17"/>
  <c r="W8" i="17"/>
  <c r="V9" i="17" s="1"/>
  <c r="W9" i="17" s="1"/>
  <c r="V10" i="17" s="1"/>
  <c r="W10" i="17" s="1"/>
  <c r="V11" i="17" s="1"/>
  <c r="W11" i="17" s="1"/>
  <c r="V12" i="17" s="1"/>
  <c r="Z8" i="17"/>
  <c r="Y9" i="17" s="1"/>
  <c r="Z9" i="17" s="1"/>
  <c r="Y10" i="17" s="1"/>
  <c r="Z10" i="17" s="1"/>
  <c r="Y11" i="17" s="1"/>
  <c r="Z11" i="17" s="1"/>
  <c r="Y12" i="17" s="1"/>
  <c r="Z12" i="17" s="1"/>
  <c r="C17" i="8"/>
  <c r="I90" i="8" s="1"/>
  <c r="J90" i="8" s="1"/>
  <c r="AB11" i="17"/>
  <c r="AC11" i="17" s="1"/>
  <c r="K7" i="8"/>
  <c r="S7" i="8" s="1"/>
  <c r="U7" i="8" s="1"/>
  <c r="K44" i="8"/>
  <c r="Q44" i="8" s="1"/>
  <c r="K18" i="8"/>
  <c r="V18" i="8" s="1"/>
  <c r="W18" i="8" s="1"/>
  <c r="X18" i="8" s="1"/>
  <c r="Y18" i="8" s="1"/>
  <c r="S28" i="8"/>
  <c r="S29" i="8"/>
  <c r="S74" i="8"/>
  <c r="S75" i="8"/>
  <c r="S54" i="8"/>
  <c r="S55" i="8"/>
  <c r="G49" i="8"/>
  <c r="G26" i="8"/>
  <c r="H93" i="8"/>
  <c r="D8" i="5"/>
  <c r="E8" i="5" s="1"/>
  <c r="D7" i="5"/>
  <c r="E7" i="5" s="1"/>
  <c r="G21" i="7"/>
  <c r="J21" i="7" s="1"/>
  <c r="K21" i="7" s="1"/>
  <c r="D9" i="5" s="1"/>
  <c r="D22" i="7"/>
  <c r="E6" i="5"/>
  <c r="I98" i="17" l="1"/>
  <c r="J97" i="17"/>
  <c r="Y71" i="17"/>
  <c r="Z71" i="17" s="1"/>
  <c r="S70" i="17"/>
  <c r="T70" i="17" s="1"/>
  <c r="K71" i="17"/>
  <c r="Q71" i="17" s="1"/>
  <c r="I72" i="17"/>
  <c r="J71" i="17"/>
  <c r="AB50" i="17"/>
  <c r="AC50" i="17" s="1"/>
  <c r="V50" i="17"/>
  <c r="W50" i="17" s="1"/>
  <c r="Y50" i="17"/>
  <c r="Z50" i="17" s="1"/>
  <c r="AD49" i="17"/>
  <c r="AE49" i="17" s="1"/>
  <c r="AF49" i="17" s="1"/>
  <c r="AG49" i="17" s="1"/>
  <c r="S50" i="17"/>
  <c r="T50" i="17" s="1"/>
  <c r="J51" i="17"/>
  <c r="I52" i="17"/>
  <c r="K51" i="17"/>
  <c r="Q51" i="17" s="1"/>
  <c r="S51" i="17" s="1"/>
  <c r="T51" i="17" s="1"/>
  <c r="K24" i="17"/>
  <c r="Q24" i="17" s="1"/>
  <c r="K37" i="17"/>
  <c r="Q37" i="17" s="1"/>
  <c r="K19" i="17"/>
  <c r="Q19" i="17" s="1"/>
  <c r="K25" i="17"/>
  <c r="Q25" i="17" s="1"/>
  <c r="K20" i="17"/>
  <c r="Q20" i="17" s="1"/>
  <c r="K38" i="17"/>
  <c r="Q38" i="17" s="1"/>
  <c r="K21" i="17"/>
  <c r="Q21" i="17" s="1"/>
  <c r="K10" i="17"/>
  <c r="Q10" i="17" s="1"/>
  <c r="K11" i="17"/>
  <c r="Q11" i="17" s="1"/>
  <c r="K26" i="17"/>
  <c r="Q26" i="17" s="1"/>
  <c r="K9" i="17"/>
  <c r="Q9" i="17" s="1"/>
  <c r="K8" i="17"/>
  <c r="Q8" i="17" s="1"/>
  <c r="K12" i="17"/>
  <c r="Q12" i="17" s="1"/>
  <c r="K27" i="17"/>
  <c r="Q27" i="17" s="1"/>
  <c r="K22" i="17"/>
  <c r="Q22" i="17" s="1"/>
  <c r="K28" i="17"/>
  <c r="Q28" i="17" s="1"/>
  <c r="K23" i="17"/>
  <c r="Q23" i="17" s="1"/>
  <c r="K29" i="17"/>
  <c r="Q29" i="17" s="1"/>
  <c r="S29" i="17" s="1"/>
  <c r="T29" i="17" s="1"/>
  <c r="J38" i="17"/>
  <c r="J25" i="17"/>
  <c r="J19" i="17"/>
  <c r="J37" i="17"/>
  <c r="J24" i="17"/>
  <c r="J20" i="17"/>
  <c r="J26" i="17"/>
  <c r="J21" i="17"/>
  <c r="J8" i="17"/>
  <c r="L8" i="17" s="1"/>
  <c r="J12" i="17"/>
  <c r="L12" i="17" s="1"/>
  <c r="J27" i="17"/>
  <c r="J22" i="17"/>
  <c r="J10" i="17"/>
  <c r="L10" i="17" s="1"/>
  <c r="J9" i="17"/>
  <c r="L9" i="17" s="1"/>
  <c r="J11" i="17"/>
  <c r="L11" i="17" s="1"/>
  <c r="J23" i="17"/>
  <c r="S23" i="17" s="1"/>
  <c r="T23" i="17" s="1"/>
  <c r="J28" i="17"/>
  <c r="Y30" i="17"/>
  <c r="Z30" i="17" s="1"/>
  <c r="AB30" i="17"/>
  <c r="AC30" i="17" s="1"/>
  <c r="W30" i="17"/>
  <c r="V30" i="17"/>
  <c r="J30" i="17"/>
  <c r="K30" i="17"/>
  <c r="Q30" i="17" s="1"/>
  <c r="I31" i="17"/>
  <c r="H46" i="8"/>
  <c r="H49" i="8"/>
  <c r="H47" i="8"/>
  <c r="I47" i="8" s="1"/>
  <c r="J47" i="8" s="1"/>
  <c r="H48" i="8"/>
  <c r="I48" i="8" s="1"/>
  <c r="J48" i="8" s="1"/>
  <c r="H45" i="8"/>
  <c r="I45" i="8" s="1"/>
  <c r="J45" i="8" s="1"/>
  <c r="H20" i="8"/>
  <c r="I20" i="8" s="1"/>
  <c r="J20" i="8" s="1"/>
  <c r="H24" i="8"/>
  <c r="I24" i="8" s="1"/>
  <c r="H9" i="8"/>
  <c r="I9" i="8" s="1"/>
  <c r="J9" i="8" s="1"/>
  <c r="H8" i="8"/>
  <c r="I8" i="8" s="1"/>
  <c r="J8" i="8" s="1"/>
  <c r="H26" i="8"/>
  <c r="H11" i="8"/>
  <c r="H23" i="8"/>
  <c r="I23" i="8" s="1"/>
  <c r="H19" i="8"/>
  <c r="H21" i="8"/>
  <c r="I21" i="8" s="1"/>
  <c r="J21" i="8" s="1"/>
  <c r="H25" i="8"/>
  <c r="I25" i="8" s="1"/>
  <c r="H10" i="8"/>
  <c r="I10" i="8" s="1"/>
  <c r="J10" i="8" s="1"/>
  <c r="H22" i="8"/>
  <c r="H12" i="8"/>
  <c r="I11" i="8"/>
  <c r="J11" i="8" s="1"/>
  <c r="I91" i="8"/>
  <c r="J91" i="8" s="1"/>
  <c r="L91" i="8" s="1"/>
  <c r="I19" i="8"/>
  <c r="J19" i="8" s="1"/>
  <c r="I46" i="8"/>
  <c r="J46" i="8" s="1"/>
  <c r="I93" i="8"/>
  <c r="J93" i="8" s="1"/>
  <c r="I92" i="8"/>
  <c r="J92" i="8" s="1"/>
  <c r="I22" i="8"/>
  <c r="J22" i="8" s="1"/>
  <c r="R7" i="8"/>
  <c r="V7" i="8" s="1"/>
  <c r="W7" i="8" s="1"/>
  <c r="X7" i="8" s="1"/>
  <c r="V44" i="8"/>
  <c r="W44" i="8" s="1"/>
  <c r="X44" i="8" s="1"/>
  <c r="Y44" i="8" s="1"/>
  <c r="S45" i="8"/>
  <c r="S44" i="8"/>
  <c r="U44" i="8" s="1"/>
  <c r="S18" i="8"/>
  <c r="U18" i="8" s="1"/>
  <c r="S19" i="8"/>
  <c r="S8" i="8"/>
  <c r="G50" i="8"/>
  <c r="H50" i="8" s="1"/>
  <c r="I49" i="8"/>
  <c r="G27" i="8"/>
  <c r="H27" i="8" s="1"/>
  <c r="H94" i="8"/>
  <c r="I94" i="8" s="1"/>
  <c r="J94" i="8" s="1"/>
  <c r="O11" i="8"/>
  <c r="Q11" i="8" s="1"/>
  <c r="E9" i="5"/>
  <c r="T8" i="8"/>
  <c r="D23" i="7"/>
  <c r="G22" i="7"/>
  <c r="J22" i="7" s="1"/>
  <c r="K22" i="7" s="1"/>
  <c r="J98" i="17" l="1"/>
  <c r="I99" i="17"/>
  <c r="Y72" i="17"/>
  <c r="Z72" i="17" s="1"/>
  <c r="S71" i="17"/>
  <c r="T71" i="17" s="1"/>
  <c r="I73" i="17"/>
  <c r="K72" i="17"/>
  <c r="Q72" i="17" s="1"/>
  <c r="J72" i="17"/>
  <c r="Y51" i="17"/>
  <c r="Z51" i="17" s="1"/>
  <c r="V51" i="17"/>
  <c r="W51" i="17" s="1"/>
  <c r="AB51" i="17"/>
  <c r="AC51" i="17" s="1"/>
  <c r="I53" i="17"/>
  <c r="K52" i="17"/>
  <c r="Q52" i="17" s="1"/>
  <c r="J52" i="17"/>
  <c r="AD50" i="17"/>
  <c r="AE50" i="17" s="1"/>
  <c r="AF50" i="17" s="1"/>
  <c r="AG50" i="17" s="1"/>
  <c r="O8" i="8"/>
  <c r="S27" i="17"/>
  <c r="T27" i="17" s="1"/>
  <c r="AD27" i="17" s="1"/>
  <c r="AE27" i="17" s="1"/>
  <c r="AF27" i="17" s="1"/>
  <c r="AG27" i="17" s="1"/>
  <c r="S26" i="17"/>
  <c r="T26" i="17" s="1"/>
  <c r="AD26" i="17" s="1"/>
  <c r="AE26" i="17" s="1"/>
  <c r="AF26" i="17" s="1"/>
  <c r="AG26" i="17" s="1"/>
  <c r="S30" i="17"/>
  <c r="T30" i="17" s="1"/>
  <c r="AD30" i="17" s="1"/>
  <c r="AE30" i="17" s="1"/>
  <c r="AF30" i="17" s="1"/>
  <c r="AG30" i="17" s="1"/>
  <c r="S19" i="17"/>
  <c r="S28" i="17"/>
  <c r="S8" i="17"/>
  <c r="T8" i="17" s="1"/>
  <c r="AD8" i="17" s="1"/>
  <c r="AE8" i="17" s="1"/>
  <c r="AF8" i="17" s="1"/>
  <c r="AG8" i="17" s="1"/>
  <c r="S10" i="17"/>
  <c r="T10" i="17" s="1"/>
  <c r="AD10" i="17" s="1"/>
  <c r="AE10" i="17" s="1"/>
  <c r="AF10" i="17" s="1"/>
  <c r="AG10" i="17" s="1"/>
  <c r="S25" i="17"/>
  <c r="T25" i="17" s="1"/>
  <c r="S22" i="17"/>
  <c r="S9" i="17"/>
  <c r="T9" i="17" s="1"/>
  <c r="AD9" i="17" s="1"/>
  <c r="AE9" i="17" s="1"/>
  <c r="AF9" i="17" s="1"/>
  <c r="S21" i="17"/>
  <c r="T21" i="17" s="1"/>
  <c r="S37" i="17"/>
  <c r="T37" i="17" s="1"/>
  <c r="Q8" i="8"/>
  <c r="R8" i="8" s="1"/>
  <c r="V8" i="8" s="1"/>
  <c r="W8" i="8" s="1"/>
  <c r="X8" i="8" s="1"/>
  <c r="S12" i="17"/>
  <c r="S11" i="17"/>
  <c r="T11" i="17" s="1"/>
  <c r="AD11" i="17" s="1"/>
  <c r="AE11" i="17" s="1"/>
  <c r="AF11" i="17" s="1"/>
  <c r="AG11" i="17" s="1"/>
  <c r="S20" i="17"/>
  <c r="S24" i="17"/>
  <c r="AB31" i="17"/>
  <c r="AC31" i="17"/>
  <c r="Y31" i="17"/>
  <c r="Z31" i="17"/>
  <c r="AD29" i="17"/>
  <c r="AE29" i="17" s="1"/>
  <c r="AF29" i="17" s="1"/>
  <c r="AG29" i="17" s="1"/>
  <c r="I32" i="17"/>
  <c r="J31" i="17"/>
  <c r="K31" i="17"/>
  <c r="Q31" i="17" s="1"/>
  <c r="V31" i="17"/>
  <c r="W31" i="17" s="1"/>
  <c r="AD23" i="17"/>
  <c r="AE23" i="17" s="1"/>
  <c r="AF23" i="17" s="1"/>
  <c r="AG23" i="17" s="1"/>
  <c r="L93" i="8"/>
  <c r="L92" i="8"/>
  <c r="O24" i="8"/>
  <c r="O10" i="8"/>
  <c r="O9" i="8"/>
  <c r="P47" i="8"/>
  <c r="Q47" i="8" s="1"/>
  <c r="R47" i="8" s="1"/>
  <c r="J23" i="8"/>
  <c r="Q23" i="8" s="1"/>
  <c r="R23" i="8" s="1"/>
  <c r="AB12" i="17"/>
  <c r="AC12" i="17" s="1"/>
  <c r="J49" i="8"/>
  <c r="Q49" i="8" s="1"/>
  <c r="R49" i="8" s="1"/>
  <c r="U8" i="8"/>
  <c r="T9" i="8" s="1"/>
  <c r="T45" i="8"/>
  <c r="U45" i="8" s="1"/>
  <c r="T46" i="8" s="1"/>
  <c r="U46" i="8" s="1"/>
  <c r="T47" i="8" s="1"/>
  <c r="U47" i="8" s="1"/>
  <c r="T48" i="8" s="1"/>
  <c r="U48" i="8" s="1"/>
  <c r="T49" i="8" s="1"/>
  <c r="U49" i="8" s="1"/>
  <c r="T50" i="8" s="1"/>
  <c r="U50" i="8" s="1"/>
  <c r="T19" i="8"/>
  <c r="U19" i="8" s="1"/>
  <c r="R11" i="8"/>
  <c r="P46" i="8"/>
  <c r="Q46" i="8" s="1"/>
  <c r="R46" i="8" s="1"/>
  <c r="L94" i="8"/>
  <c r="P45" i="8"/>
  <c r="Q45" i="8" s="1"/>
  <c r="R45" i="8" s="1"/>
  <c r="G51" i="8"/>
  <c r="H51" i="8" s="1"/>
  <c r="P48" i="8"/>
  <c r="Q48" i="8" s="1"/>
  <c r="R48" i="8" s="1"/>
  <c r="O25" i="8"/>
  <c r="O22" i="8"/>
  <c r="O20" i="8"/>
  <c r="Q20" i="8" s="1"/>
  <c r="R20" i="8" s="1"/>
  <c r="O21" i="8"/>
  <c r="Q21" i="8" s="1"/>
  <c r="R21" i="8" s="1"/>
  <c r="O19" i="8"/>
  <c r="Q19" i="8" s="1"/>
  <c r="R19" i="8" s="1"/>
  <c r="I26" i="8"/>
  <c r="G28" i="8"/>
  <c r="H28" i="8" s="1"/>
  <c r="H95" i="8"/>
  <c r="I95" i="8" s="1"/>
  <c r="J95" i="8" s="1"/>
  <c r="I12" i="8"/>
  <c r="J12" i="8" s="1"/>
  <c r="Y7" i="8"/>
  <c r="D10" i="5"/>
  <c r="D24" i="7"/>
  <c r="G23" i="7"/>
  <c r="J23" i="7" s="1"/>
  <c r="K23" i="7" s="1"/>
  <c r="J24" i="8" s="1"/>
  <c r="I100" i="17" l="1"/>
  <c r="J99" i="17"/>
  <c r="Y73" i="17"/>
  <c r="Z73" i="17" s="1"/>
  <c r="S72" i="17"/>
  <c r="T72" i="17" s="1"/>
  <c r="J73" i="17"/>
  <c r="I74" i="17"/>
  <c r="K73" i="17"/>
  <c r="Q73" i="17" s="1"/>
  <c r="V52" i="17"/>
  <c r="W52" i="17" s="1"/>
  <c r="AB52" i="17"/>
  <c r="AC52" i="17"/>
  <c r="Y52" i="17"/>
  <c r="Z52" i="17" s="1"/>
  <c r="AD51" i="17"/>
  <c r="AE51" i="17" s="1"/>
  <c r="AF51" i="17" s="1"/>
  <c r="S52" i="17"/>
  <c r="T52" i="17" s="1"/>
  <c r="J53" i="17"/>
  <c r="K53" i="17"/>
  <c r="Q53" i="17" s="1"/>
  <c r="S53" i="17" s="1"/>
  <c r="T53" i="17" s="1"/>
  <c r="I54" i="17"/>
  <c r="T22" i="17"/>
  <c r="AD22" i="17" s="1"/>
  <c r="AE22" i="17" s="1"/>
  <c r="AF22" i="17" s="1"/>
  <c r="AG22" i="17" s="1"/>
  <c r="T28" i="17"/>
  <c r="AD28" i="17" s="1"/>
  <c r="AE28" i="17" s="1"/>
  <c r="AF28" i="17" s="1"/>
  <c r="AG28" i="17" s="1"/>
  <c r="T20" i="17"/>
  <c r="AD20" i="17" s="1"/>
  <c r="AE20" i="17" s="1"/>
  <c r="AF20" i="17" s="1"/>
  <c r="AG20" i="17" s="1"/>
  <c r="T19" i="17"/>
  <c r="AD19" i="17" s="1"/>
  <c r="AE19" i="17" s="1"/>
  <c r="T24" i="17"/>
  <c r="AD24" i="17" s="1"/>
  <c r="AE24" i="17" s="1"/>
  <c r="AF24" i="17" s="1"/>
  <c r="AG24" i="17" s="1"/>
  <c r="Q22" i="8"/>
  <c r="R22" i="8" s="1"/>
  <c r="Q9" i="8"/>
  <c r="R9" i="8" s="1"/>
  <c r="V9" i="8" s="1"/>
  <c r="W9" i="8" s="1"/>
  <c r="X9" i="8" s="1"/>
  <c r="Y9" i="8" s="1"/>
  <c r="AD25" i="17"/>
  <c r="AE25" i="17" s="1"/>
  <c r="AF25" i="17" s="1"/>
  <c r="AG25" i="17" s="1"/>
  <c r="Q10" i="8"/>
  <c r="R10" i="8" s="1"/>
  <c r="AD21" i="17"/>
  <c r="AE21" i="17" s="1"/>
  <c r="AF21" i="17" s="1"/>
  <c r="AG21" i="17" s="1"/>
  <c r="Q24" i="8"/>
  <c r="R24" i="8" s="1"/>
  <c r="V32" i="17"/>
  <c r="W32" i="17" s="1"/>
  <c r="S31" i="17"/>
  <c r="T31" i="17" s="1"/>
  <c r="Y32" i="17"/>
  <c r="Z32" i="17" s="1"/>
  <c r="J32" i="17"/>
  <c r="K32" i="17"/>
  <c r="Q32" i="17" s="1"/>
  <c r="I33" i="17"/>
  <c r="AB32" i="17"/>
  <c r="AC32" i="17" s="1"/>
  <c r="AG9" i="17"/>
  <c r="T12" i="17"/>
  <c r="V49" i="8"/>
  <c r="W49" i="8" s="1"/>
  <c r="X49" i="8" s="1"/>
  <c r="Y49" i="8" s="1"/>
  <c r="T20" i="8"/>
  <c r="U20" i="8" s="1"/>
  <c r="V48" i="8"/>
  <c r="W48" i="8" s="1"/>
  <c r="X48" i="8" s="1"/>
  <c r="V47" i="8"/>
  <c r="W47" i="8" s="1"/>
  <c r="X47" i="8" s="1"/>
  <c r="Y47" i="8" s="1"/>
  <c r="V46" i="8"/>
  <c r="W46" i="8" s="1"/>
  <c r="X46" i="8" s="1"/>
  <c r="Y46" i="8" s="1"/>
  <c r="L95" i="8"/>
  <c r="V19" i="8"/>
  <c r="W19" i="8" s="1"/>
  <c r="X19" i="8" s="1"/>
  <c r="Y19" i="8" s="1"/>
  <c r="T51" i="8"/>
  <c r="U51" i="8" s="1"/>
  <c r="I50" i="8"/>
  <c r="J50" i="8" s="1"/>
  <c r="G52" i="8"/>
  <c r="H52" i="8" s="1"/>
  <c r="G29" i="8"/>
  <c r="H29" i="8" s="1"/>
  <c r="I27" i="8"/>
  <c r="O26" i="8"/>
  <c r="H96" i="8"/>
  <c r="I96" i="8" s="1"/>
  <c r="J96" i="8" s="1"/>
  <c r="L96" i="8" s="1"/>
  <c r="U9" i="8"/>
  <c r="T10" i="8" s="1"/>
  <c r="Y8" i="8"/>
  <c r="D25" i="7"/>
  <c r="G24" i="7"/>
  <c r="J24" i="7" s="1"/>
  <c r="K24" i="7" s="1"/>
  <c r="J25" i="8" s="1"/>
  <c r="Q25" i="8" s="1"/>
  <c r="R25" i="8" s="1"/>
  <c r="E10" i="5"/>
  <c r="H5" i="5"/>
  <c r="D11" i="5"/>
  <c r="E11" i="5" s="1"/>
  <c r="J100" i="17" l="1"/>
  <c r="I101" i="17"/>
  <c r="AG51" i="17"/>
  <c r="Y74" i="17"/>
  <c r="Z74" i="17"/>
  <c r="J74" i="17"/>
  <c r="K74" i="17"/>
  <c r="Q74" i="17" s="1"/>
  <c r="I75" i="17"/>
  <c r="S73" i="17"/>
  <c r="T73" i="17" s="1"/>
  <c r="Y53" i="17"/>
  <c r="Z53" i="17" s="1"/>
  <c r="V53" i="17"/>
  <c r="W53" i="17" s="1"/>
  <c r="AD52" i="17"/>
  <c r="AE52" i="17" s="1"/>
  <c r="AF52" i="17" s="1"/>
  <c r="AG52" i="17" s="1"/>
  <c r="AB53" i="17"/>
  <c r="AD53" i="17" s="1"/>
  <c r="AE53" i="17" s="1"/>
  <c r="AF53" i="17" s="1"/>
  <c r="AG53" i="17" s="1"/>
  <c r="K54" i="17"/>
  <c r="Q54" i="17" s="1"/>
  <c r="J54" i="17"/>
  <c r="I55" i="17"/>
  <c r="AF19" i="17"/>
  <c r="AG19" i="17" s="1"/>
  <c r="V10" i="8"/>
  <c r="W10" i="8" s="1"/>
  <c r="X10" i="8" s="1"/>
  <c r="Y10" i="8" s="1"/>
  <c r="S32" i="17"/>
  <c r="AB33" i="17"/>
  <c r="AC33" i="17" s="1"/>
  <c r="Y33" i="17"/>
  <c r="Z33" i="17" s="1"/>
  <c r="V33" i="17"/>
  <c r="W33" i="17" s="1"/>
  <c r="AD31" i="17"/>
  <c r="AE31" i="17" s="1"/>
  <c r="AF31" i="17" s="1"/>
  <c r="AG31" i="17" s="1"/>
  <c r="K33" i="17"/>
  <c r="Q33" i="17" s="1"/>
  <c r="I34" i="17"/>
  <c r="J33" i="17"/>
  <c r="AD12" i="17"/>
  <c r="AE12" i="17" s="1"/>
  <c r="AF12" i="17" s="1"/>
  <c r="V20" i="8"/>
  <c r="W20" i="8" s="1"/>
  <c r="X20" i="8" s="1"/>
  <c r="Y20" i="8" s="1"/>
  <c r="T21" i="8"/>
  <c r="V21" i="8" s="1"/>
  <c r="W21" i="8" s="1"/>
  <c r="X21" i="8" s="1"/>
  <c r="Y21" i="8" s="1"/>
  <c r="V45" i="8"/>
  <c r="W45" i="8" s="1"/>
  <c r="X45" i="8" s="1"/>
  <c r="Y45" i="8" s="1"/>
  <c r="Y48" i="8"/>
  <c r="T52" i="8"/>
  <c r="U52" i="8" s="1"/>
  <c r="P50" i="8"/>
  <c r="Q50" i="8" s="1"/>
  <c r="I51" i="8"/>
  <c r="J51" i="8" s="1"/>
  <c r="G53" i="8"/>
  <c r="H53" i="8" s="1"/>
  <c r="G30" i="8"/>
  <c r="H30" i="8" s="1"/>
  <c r="O27" i="8"/>
  <c r="I28" i="8"/>
  <c r="H97" i="8"/>
  <c r="I97" i="8" s="1"/>
  <c r="J97" i="8" s="1"/>
  <c r="U10" i="8"/>
  <c r="I5" i="5"/>
  <c r="H11" i="5" s="1"/>
  <c r="D12" i="5"/>
  <c r="G25" i="7"/>
  <c r="J25" i="7" s="1"/>
  <c r="K25" i="7" s="1"/>
  <c r="J26" i="8" s="1"/>
  <c r="Q26" i="8" s="1"/>
  <c r="R26" i="8" s="1"/>
  <c r="D26" i="7"/>
  <c r="I102" i="17" l="1"/>
  <c r="J101" i="17"/>
  <c r="Y75" i="17"/>
  <c r="Z75" i="17"/>
  <c r="K75" i="17"/>
  <c r="Q75" i="17" s="1"/>
  <c r="I76" i="17"/>
  <c r="J75" i="17"/>
  <c r="S74" i="17"/>
  <c r="T74" i="17" s="1"/>
  <c r="W54" i="17"/>
  <c r="V54" i="17"/>
  <c r="Y54" i="17"/>
  <c r="Z54" i="17" s="1"/>
  <c r="K55" i="17"/>
  <c r="Q55" i="17" s="1"/>
  <c r="S55" i="17" s="1"/>
  <c r="T55" i="17" s="1"/>
  <c r="J55" i="17"/>
  <c r="I56" i="17"/>
  <c r="AC53" i="17"/>
  <c r="S54" i="17"/>
  <c r="T54" i="17" s="1"/>
  <c r="R50" i="8"/>
  <c r="V50" i="8" s="1"/>
  <c r="W50" i="8" s="1"/>
  <c r="X50" i="8" s="1"/>
  <c r="T32" i="17"/>
  <c r="AD32" i="17" s="1"/>
  <c r="AE32" i="17" s="1"/>
  <c r="AF32" i="17" s="1"/>
  <c r="AG32" i="17" s="1"/>
  <c r="S33" i="17"/>
  <c r="T33" i="17" s="1"/>
  <c r="V34" i="17"/>
  <c r="W34" i="17" s="1"/>
  <c r="AB34" i="17"/>
  <c r="AC34" i="17" s="1"/>
  <c r="Y34" i="17"/>
  <c r="Z34" i="17" s="1"/>
  <c r="J34" i="17"/>
  <c r="K34" i="17"/>
  <c r="Q34" i="17" s="1"/>
  <c r="I35" i="17"/>
  <c r="AG12" i="17"/>
  <c r="AJ4" i="17"/>
  <c r="U21" i="8"/>
  <c r="T22" i="8" s="1"/>
  <c r="V22" i="8" s="1"/>
  <c r="W22" i="8" s="1"/>
  <c r="X22" i="8" s="1"/>
  <c r="Y22" i="8" s="1"/>
  <c r="L97" i="8"/>
  <c r="G54" i="8"/>
  <c r="H54" i="8" s="1"/>
  <c r="T53" i="8"/>
  <c r="U53" i="8" s="1"/>
  <c r="I52" i="8"/>
  <c r="J52" i="8" s="1"/>
  <c r="P51" i="8"/>
  <c r="Q51" i="8" s="1"/>
  <c r="O28" i="8"/>
  <c r="I29" i="8"/>
  <c r="G31" i="8"/>
  <c r="H31" i="8" s="1"/>
  <c r="H98" i="8"/>
  <c r="I98" i="8" s="1"/>
  <c r="J98" i="8" s="1"/>
  <c r="D13" i="5"/>
  <c r="E13" i="5" s="1"/>
  <c r="D27" i="7"/>
  <c r="G26" i="7"/>
  <c r="J26" i="7" s="1"/>
  <c r="K26" i="7" s="1"/>
  <c r="J27" i="8" s="1"/>
  <c r="Q27" i="8" s="1"/>
  <c r="R27" i="8" s="1"/>
  <c r="E12" i="5"/>
  <c r="T11" i="8"/>
  <c r="V11" i="8" s="1"/>
  <c r="W11" i="8" s="1"/>
  <c r="X11" i="8" s="1"/>
  <c r="I103" i="17" l="1"/>
  <c r="J102" i="17"/>
  <c r="I77" i="17"/>
  <c r="J76" i="17"/>
  <c r="K76" i="17"/>
  <c r="Q76" i="17" s="1"/>
  <c r="S75" i="17"/>
  <c r="T75" i="17" s="1"/>
  <c r="Y76" i="17"/>
  <c r="Z76" i="17"/>
  <c r="Y55" i="17"/>
  <c r="Z55" i="17" s="1"/>
  <c r="AB54" i="17"/>
  <c r="AD54" i="17" s="1"/>
  <c r="AE54" i="17" s="1"/>
  <c r="AF54" i="17" s="1"/>
  <c r="AG54" i="17" s="1"/>
  <c r="AC54" i="17"/>
  <c r="I57" i="17"/>
  <c r="K56" i="17"/>
  <c r="Q56" i="17" s="1"/>
  <c r="J56" i="17"/>
  <c r="W55" i="17"/>
  <c r="V55" i="17"/>
  <c r="R51" i="8"/>
  <c r="V51" i="8" s="1"/>
  <c r="W51" i="8" s="1"/>
  <c r="X51" i="8" s="1"/>
  <c r="Y51" i="8" s="1"/>
  <c r="S34" i="17"/>
  <c r="V35" i="17"/>
  <c r="W35" i="17" s="1"/>
  <c r="AD33" i="17"/>
  <c r="AE33" i="17" s="1"/>
  <c r="AF33" i="17" s="1"/>
  <c r="AG33" i="17" s="1"/>
  <c r="AB35" i="17"/>
  <c r="AC35" i="17" s="1"/>
  <c r="J35" i="17"/>
  <c r="I36" i="17"/>
  <c r="K35" i="17"/>
  <c r="Q35" i="17" s="1"/>
  <c r="Y35" i="17"/>
  <c r="Z35" i="17" s="1"/>
  <c r="AJ5" i="17"/>
  <c r="AJ6" i="17"/>
  <c r="AJ7" i="17" s="1"/>
  <c r="U22" i="8"/>
  <c r="T23" i="8" s="1"/>
  <c r="U23" i="8" s="1"/>
  <c r="T24" i="8" s="1"/>
  <c r="V24" i="8" s="1"/>
  <c r="W24" i="8" s="1"/>
  <c r="X24" i="8" s="1"/>
  <c r="Y24" i="8" s="1"/>
  <c r="L98" i="8"/>
  <c r="Y50" i="8"/>
  <c r="P52" i="8"/>
  <c r="Q52" i="8" s="1"/>
  <c r="I53" i="8"/>
  <c r="J53" i="8" s="1"/>
  <c r="T54" i="8"/>
  <c r="U54" i="8" s="1"/>
  <c r="G55" i="8"/>
  <c r="H55" i="8" s="1"/>
  <c r="O29" i="8"/>
  <c r="I30" i="8"/>
  <c r="G32" i="8"/>
  <c r="H32" i="8" s="1"/>
  <c r="H99" i="8"/>
  <c r="I99" i="8" s="1"/>
  <c r="J99" i="8" s="1"/>
  <c r="U11" i="8"/>
  <c r="T12" i="8" s="1"/>
  <c r="Y11" i="8"/>
  <c r="D14" i="5"/>
  <c r="D28" i="7"/>
  <c r="G27" i="7"/>
  <c r="J27" i="7" s="1"/>
  <c r="K27" i="7" s="1"/>
  <c r="J28" i="8" s="1"/>
  <c r="Q28" i="8" s="1"/>
  <c r="R28" i="8" s="1"/>
  <c r="I104" i="17" l="1"/>
  <c r="J103" i="17"/>
  <c r="S76" i="17"/>
  <c r="T76" i="17" s="1"/>
  <c r="Z77" i="17"/>
  <c r="Y77" i="17"/>
  <c r="J77" i="17"/>
  <c r="K77" i="17"/>
  <c r="Q77" i="17" s="1"/>
  <c r="I78" i="17"/>
  <c r="Y56" i="17"/>
  <c r="Z56" i="17"/>
  <c r="V56" i="17"/>
  <c r="W56" i="17" s="1"/>
  <c r="S56" i="17"/>
  <c r="T56" i="17" s="1"/>
  <c r="AB55" i="17"/>
  <c r="AD55" i="17" s="1"/>
  <c r="AE55" i="17" s="1"/>
  <c r="AF55" i="17" s="1"/>
  <c r="AG55" i="17" s="1"/>
  <c r="AC55" i="17"/>
  <c r="I58" i="17"/>
  <c r="K57" i="17"/>
  <c r="Q57" i="17" s="1"/>
  <c r="J57" i="17"/>
  <c r="R52" i="8"/>
  <c r="V52" i="8" s="1"/>
  <c r="W52" i="8" s="1"/>
  <c r="T34" i="17"/>
  <c r="AD34" i="17" s="1"/>
  <c r="AE34" i="17" s="1"/>
  <c r="AF34" i="17" s="1"/>
  <c r="AG34" i="17" s="1"/>
  <c r="AB36" i="17"/>
  <c r="AC36" i="17" s="1"/>
  <c r="AB37" i="17" s="1"/>
  <c r="AC37" i="17" s="1"/>
  <c r="AB38" i="17" s="1"/>
  <c r="AC38" i="17" s="1"/>
  <c r="Y36" i="17"/>
  <c r="Z36" i="17"/>
  <c r="V36" i="17"/>
  <c r="W36" i="17" s="1"/>
  <c r="V37" i="17" s="1"/>
  <c r="S35" i="17"/>
  <c r="T35" i="17" s="1"/>
  <c r="K36" i="17"/>
  <c r="Q36" i="17" s="1"/>
  <c r="J36" i="17"/>
  <c r="V23" i="8"/>
  <c r="W23" i="8" s="1"/>
  <c r="X23" i="8" s="1"/>
  <c r="Y23" i="8" s="1"/>
  <c r="U24" i="8"/>
  <c r="T25" i="8" s="1"/>
  <c r="V25" i="8" s="1"/>
  <c r="W25" i="8" s="1"/>
  <c r="X25" i="8" s="1"/>
  <c r="Y25" i="8" s="1"/>
  <c r="L99" i="8"/>
  <c r="T55" i="8"/>
  <c r="U55" i="8" s="1"/>
  <c r="I54" i="8"/>
  <c r="J54" i="8" s="1"/>
  <c r="G56" i="8"/>
  <c r="H56" i="8" s="1"/>
  <c r="P53" i="8"/>
  <c r="Q53" i="8" s="1"/>
  <c r="O30" i="8"/>
  <c r="G33" i="8"/>
  <c r="H33" i="8" s="1"/>
  <c r="I31" i="8"/>
  <c r="H100" i="8"/>
  <c r="I100" i="8" s="1"/>
  <c r="J100" i="8" s="1"/>
  <c r="U12" i="8"/>
  <c r="P12" i="8" s="1"/>
  <c r="Q12" i="8" s="1"/>
  <c r="D15" i="5"/>
  <c r="E15" i="5" s="1"/>
  <c r="E14" i="5"/>
  <c r="D29" i="7"/>
  <c r="G28" i="7"/>
  <c r="J28" i="7" s="1"/>
  <c r="K28" i="7" s="1"/>
  <c r="J29" i="8" s="1"/>
  <c r="Q29" i="8" s="1"/>
  <c r="R29" i="8" s="1"/>
  <c r="J104" i="17" l="1"/>
  <c r="I105" i="17"/>
  <c r="J78" i="17"/>
  <c r="K78" i="17"/>
  <c r="Q78" i="17" s="1"/>
  <c r="I79" i="17"/>
  <c r="Y78" i="17"/>
  <c r="Z78" i="17" s="1"/>
  <c r="S77" i="17"/>
  <c r="T77" i="17" s="1"/>
  <c r="V57" i="17"/>
  <c r="W57" i="17" s="1"/>
  <c r="I59" i="17"/>
  <c r="K58" i="17"/>
  <c r="Q58" i="17" s="1"/>
  <c r="S58" i="17" s="1"/>
  <c r="T58" i="17" s="1"/>
  <c r="J58" i="17"/>
  <c r="AB56" i="17"/>
  <c r="AC56" i="17" s="1"/>
  <c r="Z57" i="17"/>
  <c r="Y57" i="17"/>
  <c r="S57" i="17"/>
  <c r="T57" i="17" s="1"/>
  <c r="AD56" i="17"/>
  <c r="AE56" i="17" s="1"/>
  <c r="AF56" i="17" s="1"/>
  <c r="AG56" i="17" s="1"/>
  <c r="X52" i="8"/>
  <c r="Y52" i="8" s="1"/>
  <c r="R53" i="8"/>
  <c r="V53" i="8" s="1"/>
  <c r="W53" i="8" s="1"/>
  <c r="X53" i="8" s="1"/>
  <c r="Y53" i="8" s="1"/>
  <c r="Y37" i="17"/>
  <c r="Z37" i="17" s="1"/>
  <c r="Y38" i="17" s="1"/>
  <c r="Z38" i="17" s="1"/>
  <c r="W37" i="17"/>
  <c r="V38" i="17" s="1"/>
  <c r="W38" i="17" s="1"/>
  <c r="S36" i="17"/>
  <c r="T36" i="17" s="1"/>
  <c r="AD35" i="17"/>
  <c r="AE35" i="17" s="1"/>
  <c r="AF35" i="17" s="1"/>
  <c r="AG35" i="17" s="1"/>
  <c r="R12" i="8"/>
  <c r="V12" i="8" s="1"/>
  <c r="W12" i="8" s="1"/>
  <c r="X12" i="8" s="1"/>
  <c r="V28" i="8"/>
  <c r="W28" i="8" s="1"/>
  <c r="X28" i="8" s="1"/>
  <c r="Y28" i="8" s="1"/>
  <c r="U25" i="8"/>
  <c r="T26" i="8" s="1"/>
  <c r="V26" i="8" s="1"/>
  <c r="W26" i="8" s="1"/>
  <c r="X26" i="8" s="1"/>
  <c r="L100" i="8"/>
  <c r="T56" i="8"/>
  <c r="U56" i="8" s="1"/>
  <c r="P54" i="8"/>
  <c r="Q54" i="8" s="1"/>
  <c r="I55" i="8"/>
  <c r="J55" i="8" s="1"/>
  <c r="G57" i="8"/>
  <c r="H57" i="8" s="1"/>
  <c r="O31" i="8"/>
  <c r="G34" i="8"/>
  <c r="H34" i="8" s="1"/>
  <c r="I32" i="8"/>
  <c r="H101" i="8"/>
  <c r="I101" i="8" s="1"/>
  <c r="J101" i="8" s="1"/>
  <c r="L101" i="8" s="1"/>
  <c r="D16" i="5"/>
  <c r="E16" i="5" s="1"/>
  <c r="G29" i="7"/>
  <c r="J29" i="7" s="1"/>
  <c r="K29" i="7" s="1"/>
  <c r="J30" i="8" s="1"/>
  <c r="Q30" i="8" s="1"/>
  <c r="R30" i="8" s="1"/>
  <c r="D30" i="7"/>
  <c r="I106" i="17" l="1"/>
  <c r="J105" i="17"/>
  <c r="Y79" i="17"/>
  <c r="Z79" i="17"/>
  <c r="S78" i="17"/>
  <c r="T78" i="17" s="1"/>
  <c r="K79" i="17"/>
  <c r="Q79" i="17" s="1"/>
  <c r="I80" i="17"/>
  <c r="J79" i="17"/>
  <c r="AB57" i="17"/>
  <c r="AC57" i="17" s="1"/>
  <c r="V58" i="17"/>
  <c r="W58" i="17" s="1"/>
  <c r="Y58" i="17"/>
  <c r="Z58" i="17"/>
  <c r="J59" i="17"/>
  <c r="I60" i="17"/>
  <c r="K59" i="17"/>
  <c r="Q59" i="17" s="1"/>
  <c r="AD57" i="17"/>
  <c r="AE57" i="17" s="1"/>
  <c r="AF57" i="17" s="1"/>
  <c r="AG57" i="17" s="1"/>
  <c r="R54" i="8"/>
  <c r="V54" i="8" s="1"/>
  <c r="W54" i="8" s="1"/>
  <c r="AD37" i="17"/>
  <c r="AE37" i="17" s="1"/>
  <c r="AF37" i="17" s="1"/>
  <c r="AG37" i="17" s="1"/>
  <c r="R38" i="17"/>
  <c r="S38" i="17" s="1"/>
  <c r="AD36" i="17"/>
  <c r="AE36" i="17" s="1"/>
  <c r="AF36" i="17" s="1"/>
  <c r="AG36" i="17" s="1"/>
  <c r="Y12" i="8"/>
  <c r="AB6" i="8" s="1"/>
  <c r="AB7" i="8" s="1"/>
  <c r="AB4" i="8"/>
  <c r="AB5" i="8"/>
  <c r="Y26" i="8"/>
  <c r="T57" i="8"/>
  <c r="U57" i="8" s="1"/>
  <c r="I56" i="8"/>
  <c r="J56" i="8" s="1"/>
  <c r="P55" i="8"/>
  <c r="Q55" i="8" s="1"/>
  <c r="G58" i="8"/>
  <c r="H58" i="8" s="1"/>
  <c r="G35" i="8"/>
  <c r="H35" i="8" s="1"/>
  <c r="O32" i="8"/>
  <c r="I33" i="8"/>
  <c r="U26" i="8"/>
  <c r="H102" i="8"/>
  <c r="I102" i="8" s="1"/>
  <c r="J102" i="8" s="1"/>
  <c r="L102" i="8" s="1"/>
  <c r="D31" i="7"/>
  <c r="G30" i="7"/>
  <c r="J30" i="7" s="1"/>
  <c r="K30" i="7" s="1"/>
  <c r="J31" i="8" s="1"/>
  <c r="Q31" i="8" s="1"/>
  <c r="R31" i="8" s="1"/>
  <c r="D17" i="5"/>
  <c r="E17" i="5" s="1"/>
  <c r="J106" i="17" l="1"/>
  <c r="I107" i="17"/>
  <c r="I81" i="17"/>
  <c r="J80" i="17"/>
  <c r="K80" i="17"/>
  <c r="Q80" i="17" s="1"/>
  <c r="S79" i="17"/>
  <c r="T79" i="17" s="1"/>
  <c r="Y80" i="17"/>
  <c r="Z80" i="17"/>
  <c r="V59" i="17"/>
  <c r="W59" i="17" s="1"/>
  <c r="AB58" i="17"/>
  <c r="AD58" i="17" s="1"/>
  <c r="AE58" i="17" s="1"/>
  <c r="AF58" i="17" s="1"/>
  <c r="AG58" i="17" s="1"/>
  <c r="Z59" i="17"/>
  <c r="Y59" i="17"/>
  <c r="S59" i="17"/>
  <c r="T59" i="17" s="1"/>
  <c r="I61" i="17"/>
  <c r="K60" i="17"/>
  <c r="Q60" i="17" s="1"/>
  <c r="S60" i="17" s="1"/>
  <c r="T60" i="17" s="1"/>
  <c r="J60" i="17"/>
  <c r="R55" i="8"/>
  <c r="V55" i="8" s="1"/>
  <c r="W55" i="8" s="1"/>
  <c r="X54" i="8"/>
  <c r="Y54" i="8" s="1"/>
  <c r="T38" i="17"/>
  <c r="AD38" i="17" s="1"/>
  <c r="AE38" i="17" s="1"/>
  <c r="AF38" i="17" s="1"/>
  <c r="AG38" i="17" s="1"/>
  <c r="T58" i="8"/>
  <c r="U58" i="8" s="1"/>
  <c r="G59" i="8"/>
  <c r="H59" i="8" s="1"/>
  <c r="P56" i="8"/>
  <c r="Q56" i="8" s="1"/>
  <c r="I57" i="8"/>
  <c r="J57" i="8" s="1"/>
  <c r="O33" i="8"/>
  <c r="T27" i="8"/>
  <c r="V27" i="8" s="1"/>
  <c r="W27" i="8" s="1"/>
  <c r="X27" i="8" s="1"/>
  <c r="I34" i="8"/>
  <c r="G36" i="8"/>
  <c r="H36" i="8" s="1"/>
  <c r="H103" i="8"/>
  <c r="I103" i="8" s="1"/>
  <c r="J103" i="8" s="1"/>
  <c r="L103" i="8" s="1"/>
  <c r="D18" i="5"/>
  <c r="E18" i="5" s="1"/>
  <c r="D32" i="7"/>
  <c r="G31" i="7"/>
  <c r="J31" i="7" s="1"/>
  <c r="K31" i="7" s="1"/>
  <c r="J32" i="8" s="1"/>
  <c r="Q32" i="8" s="1"/>
  <c r="R32" i="8" s="1"/>
  <c r="I108" i="17" l="1"/>
  <c r="J107" i="17"/>
  <c r="S80" i="17"/>
  <c r="T80" i="17" s="1"/>
  <c r="Y81" i="17"/>
  <c r="Z81" i="17" s="1"/>
  <c r="J81" i="17"/>
  <c r="K81" i="17"/>
  <c r="Q81" i="17" s="1"/>
  <c r="I82" i="17"/>
  <c r="V60" i="17"/>
  <c r="W60" i="17" s="1"/>
  <c r="AC58" i="17"/>
  <c r="K61" i="17"/>
  <c r="Q61" i="17" s="1"/>
  <c r="S61" i="17" s="1"/>
  <c r="T61" i="17" s="1"/>
  <c r="J61" i="17"/>
  <c r="I62" i="17"/>
  <c r="Y60" i="17"/>
  <c r="Z60" i="17"/>
  <c r="R56" i="8"/>
  <c r="V56" i="8" s="1"/>
  <c r="W56" i="8" s="1"/>
  <c r="X55" i="8"/>
  <c r="Y55" i="8" s="1"/>
  <c r="Y27" i="8"/>
  <c r="U27" i="8"/>
  <c r="T28" i="8" s="1"/>
  <c r="U28" i="8" s="1"/>
  <c r="T59" i="8"/>
  <c r="U59" i="8" s="1"/>
  <c r="I58" i="8"/>
  <c r="J58" i="8" s="1"/>
  <c r="P57" i="8"/>
  <c r="Q57" i="8" s="1"/>
  <c r="G60" i="8"/>
  <c r="H60" i="8" s="1"/>
  <c r="O34" i="8"/>
  <c r="G37" i="8"/>
  <c r="H37" i="8" s="1"/>
  <c r="I35" i="8"/>
  <c r="H104" i="8"/>
  <c r="I104" i="8" s="1"/>
  <c r="J104" i="8" s="1"/>
  <c r="L104" i="8" s="1"/>
  <c r="D19" i="5"/>
  <c r="E19" i="5" s="1"/>
  <c r="D33" i="7"/>
  <c r="G32" i="7"/>
  <c r="J32" i="7" s="1"/>
  <c r="K32" i="7" s="1"/>
  <c r="J33" i="8" s="1"/>
  <c r="Q33" i="8" s="1"/>
  <c r="R33" i="8" s="1"/>
  <c r="J108" i="17" l="1"/>
  <c r="I109" i="17"/>
  <c r="Y82" i="17"/>
  <c r="Z82" i="17"/>
  <c r="S81" i="17"/>
  <c r="T81" i="17" s="1"/>
  <c r="J82" i="17"/>
  <c r="K82" i="17"/>
  <c r="Q82" i="17" s="1"/>
  <c r="I83" i="17"/>
  <c r="V61" i="17"/>
  <c r="W61" i="17" s="1"/>
  <c r="I63" i="17"/>
  <c r="K62" i="17"/>
  <c r="Q62" i="17" s="1"/>
  <c r="S62" i="17" s="1"/>
  <c r="T62" i="17" s="1"/>
  <c r="J62" i="17"/>
  <c r="Y61" i="17"/>
  <c r="Z61" i="17" s="1"/>
  <c r="AB59" i="17"/>
  <c r="AD59" i="17" s="1"/>
  <c r="AE59" i="17" s="1"/>
  <c r="AF59" i="17" s="1"/>
  <c r="AG59" i="17" s="1"/>
  <c r="AC59" i="17"/>
  <c r="X56" i="8"/>
  <c r="Y56" i="8" s="1"/>
  <c r="R57" i="8"/>
  <c r="V57" i="8" s="1"/>
  <c r="W57" i="8" s="1"/>
  <c r="X57" i="8" s="1"/>
  <c r="Y57" i="8" s="1"/>
  <c r="T60" i="8"/>
  <c r="U60" i="8" s="1"/>
  <c r="I59" i="8"/>
  <c r="J59" i="8" s="1"/>
  <c r="P58" i="8"/>
  <c r="Q58" i="8" s="1"/>
  <c r="G61" i="8"/>
  <c r="H61" i="8" s="1"/>
  <c r="O35" i="8"/>
  <c r="T29" i="8"/>
  <c r="V29" i="8" s="1"/>
  <c r="W29" i="8" s="1"/>
  <c r="X29" i="8" s="1"/>
  <c r="I36" i="8"/>
  <c r="G38" i="8"/>
  <c r="H105" i="8"/>
  <c r="I105" i="8" s="1"/>
  <c r="J105" i="8" s="1"/>
  <c r="L105" i="8" s="1"/>
  <c r="D20" i="5"/>
  <c r="E20" i="5" s="1"/>
  <c r="G33" i="7"/>
  <c r="J33" i="7" s="1"/>
  <c r="K33" i="7" s="1"/>
  <c r="J34" i="8" s="1"/>
  <c r="Q34" i="8" s="1"/>
  <c r="R34" i="8" s="1"/>
  <c r="D34" i="7"/>
  <c r="I110" i="17" l="1"/>
  <c r="J109" i="17"/>
  <c r="S82" i="17"/>
  <c r="T82" i="17" s="1"/>
  <c r="Y83" i="17"/>
  <c r="Z83" i="17"/>
  <c r="K83" i="17"/>
  <c r="Q83" i="17" s="1"/>
  <c r="J83" i="17"/>
  <c r="I84" i="17"/>
  <c r="Y62" i="17"/>
  <c r="Z62" i="17" s="1"/>
  <c r="V62" i="17"/>
  <c r="W62" i="17" s="1"/>
  <c r="AB60" i="17"/>
  <c r="AD60" i="17" s="1"/>
  <c r="AE60" i="17" s="1"/>
  <c r="AF60" i="17" s="1"/>
  <c r="AG60" i="17" s="1"/>
  <c r="I64" i="17"/>
  <c r="K63" i="17"/>
  <c r="Q63" i="17" s="1"/>
  <c r="J63" i="17"/>
  <c r="R58" i="8"/>
  <c r="V58" i="8" s="1"/>
  <c r="W58" i="8" s="1"/>
  <c r="H38" i="8"/>
  <c r="I38" i="8" s="1"/>
  <c r="Y29" i="8"/>
  <c r="P59" i="8"/>
  <c r="Q59" i="8" s="1"/>
  <c r="R59" i="8" s="1"/>
  <c r="I60" i="8"/>
  <c r="J60" i="8" s="1"/>
  <c r="G62" i="8"/>
  <c r="H62" i="8" s="1"/>
  <c r="T61" i="8"/>
  <c r="U61" i="8" s="1"/>
  <c r="O36" i="8"/>
  <c r="I37" i="8"/>
  <c r="U29" i="8"/>
  <c r="H106" i="8"/>
  <c r="I106" i="8" s="1"/>
  <c r="J106" i="8" s="1"/>
  <c r="L106" i="8" s="1"/>
  <c r="D35" i="7"/>
  <c r="G34" i="7"/>
  <c r="J34" i="7" s="1"/>
  <c r="K34" i="7" s="1"/>
  <c r="J35" i="8" s="1"/>
  <c r="Q35" i="8" s="1"/>
  <c r="R35" i="8" s="1"/>
  <c r="D21" i="5"/>
  <c r="E21" i="5" s="1"/>
  <c r="J110" i="17" l="1"/>
  <c r="I111" i="17"/>
  <c r="Y84" i="17"/>
  <c r="Z84" i="17"/>
  <c r="S83" i="17"/>
  <c r="T83" i="17" s="1"/>
  <c r="K84" i="17"/>
  <c r="Q84" i="17" s="1"/>
  <c r="J84" i="17"/>
  <c r="V63" i="17"/>
  <c r="W63" i="17"/>
  <c r="Y63" i="17"/>
  <c r="Z63" i="17" s="1"/>
  <c r="S63" i="17"/>
  <c r="T63" i="17" s="1"/>
  <c r="AC60" i="17"/>
  <c r="K64" i="17"/>
  <c r="Q64" i="17" s="1"/>
  <c r="J64" i="17"/>
  <c r="X58" i="8"/>
  <c r="Y58" i="8" s="1"/>
  <c r="V59" i="8"/>
  <c r="W59" i="8" s="1"/>
  <c r="X59" i="8" s="1"/>
  <c r="Y59" i="8" s="1"/>
  <c r="T62" i="8"/>
  <c r="U62" i="8" s="1"/>
  <c r="P60" i="8"/>
  <c r="Q60" i="8" s="1"/>
  <c r="I61" i="8"/>
  <c r="J61" i="8" s="1"/>
  <c r="G63" i="8"/>
  <c r="H63" i="8" s="1"/>
  <c r="O37" i="8"/>
  <c r="T30" i="8"/>
  <c r="V30" i="8" s="1"/>
  <c r="W30" i="8" s="1"/>
  <c r="X30" i="8" s="1"/>
  <c r="Y30" i="8" s="1"/>
  <c r="H107" i="8"/>
  <c r="I107" i="8" s="1"/>
  <c r="J107" i="8" s="1"/>
  <c r="L107" i="8" s="1"/>
  <c r="D22" i="5"/>
  <c r="E22" i="5" s="1"/>
  <c r="D36" i="7"/>
  <c r="G35" i="7"/>
  <c r="J35" i="7" s="1"/>
  <c r="K35" i="7" s="1"/>
  <c r="J36" i="8" s="1"/>
  <c r="Q36" i="8" s="1"/>
  <c r="R36" i="8" s="1"/>
  <c r="I112" i="17" l="1"/>
  <c r="J111" i="17"/>
  <c r="Y64" i="17"/>
  <c r="Z64" i="17" s="1"/>
  <c r="AB61" i="17"/>
  <c r="AD61" i="17" s="1"/>
  <c r="AE61" i="17" s="1"/>
  <c r="AF61" i="17" s="1"/>
  <c r="AG61" i="17" s="1"/>
  <c r="V64" i="17"/>
  <c r="W64" i="17" s="1"/>
  <c r="R60" i="8"/>
  <c r="V60" i="8" s="1"/>
  <c r="W60" i="8" s="1"/>
  <c r="T63" i="8"/>
  <c r="U63" i="8" s="1"/>
  <c r="G64" i="8"/>
  <c r="H64" i="8" s="1"/>
  <c r="I62" i="8"/>
  <c r="J62" i="8" s="1"/>
  <c r="P61" i="8"/>
  <c r="Q61" i="8" s="1"/>
  <c r="U30" i="8"/>
  <c r="H108" i="8"/>
  <c r="I108" i="8" s="1"/>
  <c r="J108" i="8" s="1"/>
  <c r="L108" i="8" s="1"/>
  <c r="D23" i="5"/>
  <c r="E23" i="5" s="1"/>
  <c r="D37" i="7"/>
  <c r="G36" i="7"/>
  <c r="J36" i="7" s="1"/>
  <c r="K36" i="7" s="1"/>
  <c r="J37" i="8" s="1"/>
  <c r="Q37" i="8" s="1"/>
  <c r="R37" i="8" s="1"/>
  <c r="J112" i="17" l="1"/>
  <c r="I113" i="17"/>
  <c r="V65" i="17"/>
  <c r="AC61" i="17"/>
  <c r="R61" i="8"/>
  <c r="V61" i="8" s="1"/>
  <c r="W61" i="8" s="1"/>
  <c r="X60" i="8"/>
  <c r="Y60" i="8" s="1"/>
  <c r="T64" i="8"/>
  <c r="U64" i="8" s="1"/>
  <c r="I64" i="8"/>
  <c r="G65" i="8"/>
  <c r="H65" i="8" s="1"/>
  <c r="P62" i="8"/>
  <c r="Q62" i="8" s="1"/>
  <c r="I63" i="8"/>
  <c r="J63" i="8" s="1"/>
  <c r="T31" i="8"/>
  <c r="V31" i="8" s="1"/>
  <c r="W31" i="8" s="1"/>
  <c r="X31" i="8" s="1"/>
  <c r="Y31" i="8" s="1"/>
  <c r="H109" i="8"/>
  <c r="I109" i="8" s="1"/>
  <c r="J109" i="8" s="1"/>
  <c r="L109" i="8" s="1"/>
  <c r="G37" i="7"/>
  <c r="J37" i="7" s="1"/>
  <c r="K37" i="7" s="1"/>
  <c r="J38" i="8" s="1"/>
  <c r="D38" i="7"/>
  <c r="D24" i="5"/>
  <c r="E24" i="5" s="1"/>
  <c r="I114" i="17" l="1"/>
  <c r="J113" i="17"/>
  <c r="W65" i="17"/>
  <c r="AB62" i="17"/>
  <c r="AD62" i="17" s="1"/>
  <c r="AE62" i="17" s="1"/>
  <c r="AF62" i="17" s="1"/>
  <c r="AG62" i="17" s="1"/>
  <c r="R62" i="8"/>
  <c r="V62" i="8" s="1"/>
  <c r="W62" i="8" s="1"/>
  <c r="X61" i="8"/>
  <c r="Y61" i="8" s="1"/>
  <c r="AJ15" i="17"/>
  <c r="AJ16" i="17"/>
  <c r="AJ17" i="17"/>
  <c r="AJ18" i="17" s="1"/>
  <c r="P63" i="8"/>
  <c r="Q63" i="8" s="1"/>
  <c r="J64" i="8"/>
  <c r="Q64" i="8" s="1"/>
  <c r="R64" i="8" s="1"/>
  <c r="U31" i="8"/>
  <c r="T32" i="8" s="1"/>
  <c r="V32" i="8" s="1"/>
  <c r="W32" i="8" s="1"/>
  <c r="X32" i="8" s="1"/>
  <c r="Y32" i="8" s="1"/>
  <c r="T65" i="8"/>
  <c r="U65" i="8" s="1"/>
  <c r="G66" i="8"/>
  <c r="H66" i="8" s="1"/>
  <c r="H110" i="8"/>
  <c r="I110" i="8" s="1"/>
  <c r="J110" i="8" s="1"/>
  <c r="L110" i="8" s="1"/>
  <c r="D39" i="7"/>
  <c r="G38" i="7"/>
  <c r="J38" i="7" s="1"/>
  <c r="K38" i="7" s="1"/>
  <c r="D25" i="5"/>
  <c r="J114" i="17" l="1"/>
  <c r="I115" i="17"/>
  <c r="V66" i="17"/>
  <c r="W66" i="17"/>
  <c r="V67" i="17" s="1"/>
  <c r="AC62" i="17"/>
  <c r="X62" i="8"/>
  <c r="Y62" i="8" s="1"/>
  <c r="R63" i="8"/>
  <c r="V63" i="8" s="1"/>
  <c r="W63" i="8" s="1"/>
  <c r="X63" i="8" s="1"/>
  <c r="Y63" i="8" s="1"/>
  <c r="T66" i="8"/>
  <c r="U66" i="8" s="1"/>
  <c r="G67" i="8"/>
  <c r="H67" i="8" s="1"/>
  <c r="I65" i="8"/>
  <c r="J65" i="8" s="1"/>
  <c r="U32" i="8"/>
  <c r="H111" i="8"/>
  <c r="I111" i="8" s="1"/>
  <c r="J111" i="8" s="1"/>
  <c r="L111" i="8" s="1"/>
  <c r="E25" i="5"/>
  <c r="I6" i="5" s="1"/>
  <c r="H12" i="5" s="1"/>
  <c r="H6" i="5"/>
  <c r="D26" i="5"/>
  <c r="E26" i="5" s="1"/>
  <c r="D40" i="7"/>
  <c r="G39" i="7"/>
  <c r="J39" i="7" s="1"/>
  <c r="K39" i="7" s="1"/>
  <c r="I116" i="17" l="1"/>
  <c r="J115" i="17"/>
  <c r="W67" i="17"/>
  <c r="AB63" i="17"/>
  <c r="AD63" i="17" s="1"/>
  <c r="AE63" i="17" s="1"/>
  <c r="AF63" i="17" s="1"/>
  <c r="AG63" i="17" s="1"/>
  <c r="AC63" i="17"/>
  <c r="V64" i="8"/>
  <c r="W64" i="8" s="1"/>
  <c r="X64" i="8" s="1"/>
  <c r="Y64" i="8" s="1"/>
  <c r="P65" i="8"/>
  <c r="Q65" i="8" s="1"/>
  <c r="R65" i="8" s="1"/>
  <c r="T67" i="8"/>
  <c r="U67" i="8" s="1"/>
  <c r="I66" i="8"/>
  <c r="J66" i="8" s="1"/>
  <c r="G68" i="8"/>
  <c r="H68" i="8" s="1"/>
  <c r="T33" i="8"/>
  <c r="V33" i="8" s="1"/>
  <c r="W33" i="8" s="1"/>
  <c r="X33" i="8" s="1"/>
  <c r="Y33" i="8" s="1"/>
  <c r="H112" i="8"/>
  <c r="I112" i="8" s="1"/>
  <c r="J112" i="8" s="1"/>
  <c r="L112" i="8" s="1"/>
  <c r="D41" i="7"/>
  <c r="G40" i="7"/>
  <c r="J40" i="7" s="1"/>
  <c r="K40" i="7" s="1"/>
  <c r="D27" i="5"/>
  <c r="E27" i="5" s="1"/>
  <c r="J116" i="17" l="1"/>
  <c r="I117" i="17"/>
  <c r="V68" i="17"/>
  <c r="AB64" i="17"/>
  <c r="AC64" i="17" s="1"/>
  <c r="V65" i="8"/>
  <c r="W65" i="8" s="1"/>
  <c r="X65" i="8" s="1"/>
  <c r="Y65" i="8" s="1"/>
  <c r="P66" i="8"/>
  <c r="Q66" i="8" s="1"/>
  <c r="R66" i="8" s="1"/>
  <c r="T68" i="8"/>
  <c r="U68" i="8" s="1"/>
  <c r="I67" i="8"/>
  <c r="J67" i="8" s="1"/>
  <c r="G69" i="8"/>
  <c r="H69" i="8" s="1"/>
  <c r="U33" i="8"/>
  <c r="H113" i="8"/>
  <c r="I113" i="8" s="1"/>
  <c r="J113" i="8" s="1"/>
  <c r="L113" i="8" s="1"/>
  <c r="D28" i="5"/>
  <c r="E28" i="5" s="1"/>
  <c r="G41" i="7"/>
  <c r="J41" i="7" s="1"/>
  <c r="K41" i="7" s="1"/>
  <c r="D42" i="7"/>
  <c r="I118" i="17" l="1"/>
  <c r="J117" i="17"/>
  <c r="S64" i="17"/>
  <c r="T64" i="17" s="1"/>
  <c r="AB65" i="17"/>
  <c r="AD65" i="17" s="1"/>
  <c r="AE65" i="17" s="1"/>
  <c r="AF65" i="17" s="1"/>
  <c r="AG65" i="17" s="1"/>
  <c r="W68" i="17"/>
  <c r="V69" i="17" s="1"/>
  <c r="AD64" i="17"/>
  <c r="AE64" i="17" s="1"/>
  <c r="AF64" i="17" s="1"/>
  <c r="AG64" i="17" s="1"/>
  <c r="V66" i="8"/>
  <c r="W66" i="8" s="1"/>
  <c r="X66" i="8" s="1"/>
  <c r="Y66" i="8" s="1"/>
  <c r="T69" i="8"/>
  <c r="U69" i="8" s="1"/>
  <c r="I68" i="8"/>
  <c r="J68" i="8" s="1"/>
  <c r="G70" i="8"/>
  <c r="H70" i="8" s="1"/>
  <c r="P67" i="8"/>
  <c r="Q67" i="8" s="1"/>
  <c r="T34" i="8"/>
  <c r="V34" i="8" s="1"/>
  <c r="W34" i="8" s="1"/>
  <c r="X34" i="8" s="1"/>
  <c r="Y34" i="8" s="1"/>
  <c r="H114" i="8"/>
  <c r="I114" i="8" s="1"/>
  <c r="J114" i="8" s="1"/>
  <c r="L114" i="8" s="1"/>
  <c r="D43" i="7"/>
  <c r="G42" i="7"/>
  <c r="J42" i="7" s="1"/>
  <c r="K42" i="7" s="1"/>
  <c r="D29" i="5"/>
  <c r="E29" i="5" s="1"/>
  <c r="J118" i="17" l="1"/>
  <c r="I119" i="17"/>
  <c r="AC65" i="17"/>
  <c r="W69" i="17"/>
  <c r="R67" i="8"/>
  <c r="V67" i="8" s="1"/>
  <c r="W67" i="8" s="1"/>
  <c r="P68" i="8"/>
  <c r="Q68" i="8" s="1"/>
  <c r="T70" i="8"/>
  <c r="U70" i="8" s="1"/>
  <c r="G71" i="8"/>
  <c r="H71" i="8" s="1"/>
  <c r="I69" i="8"/>
  <c r="J69" i="8" s="1"/>
  <c r="U34" i="8"/>
  <c r="H115" i="8"/>
  <c r="I115" i="8" s="1"/>
  <c r="J115" i="8" s="1"/>
  <c r="L115" i="8" s="1"/>
  <c r="D44" i="7"/>
  <c r="G43" i="7"/>
  <c r="J43" i="7" s="1"/>
  <c r="K43" i="7" s="1"/>
  <c r="D30" i="5"/>
  <c r="E30" i="5" s="1"/>
  <c r="I120" i="17" l="1"/>
  <c r="J119" i="17"/>
  <c r="AB66" i="17"/>
  <c r="AD66" i="17" s="1"/>
  <c r="AE66" i="17" s="1"/>
  <c r="AF66" i="17" s="1"/>
  <c r="AG66" i="17" s="1"/>
  <c r="AC66" i="17"/>
  <c r="AB67" i="17" s="1"/>
  <c r="V70" i="17"/>
  <c r="W70" i="17"/>
  <c r="V71" i="17" s="1"/>
  <c r="R68" i="8"/>
  <c r="V68" i="8" s="1"/>
  <c r="W68" i="8" s="1"/>
  <c r="X67" i="8"/>
  <c r="Y67" i="8" s="1"/>
  <c r="P69" i="8"/>
  <c r="Q69" i="8" s="1"/>
  <c r="R69" i="8" s="1"/>
  <c r="T71" i="8"/>
  <c r="U71" i="8" s="1"/>
  <c r="I70" i="8"/>
  <c r="J70" i="8" s="1"/>
  <c r="G72" i="8"/>
  <c r="H72" i="8" s="1"/>
  <c r="T35" i="8"/>
  <c r="V35" i="8" s="1"/>
  <c r="W35" i="8" s="1"/>
  <c r="X35" i="8" s="1"/>
  <c r="Y35" i="8" s="1"/>
  <c r="H116" i="8"/>
  <c r="I116" i="8" s="1"/>
  <c r="J116" i="8" s="1"/>
  <c r="L116" i="8" s="1"/>
  <c r="D45" i="7"/>
  <c r="G44" i="7"/>
  <c r="J44" i="7" s="1"/>
  <c r="K44" i="7" s="1"/>
  <c r="D31" i="5"/>
  <c r="E31" i="5" s="1"/>
  <c r="J120" i="17" l="1"/>
  <c r="I121" i="17"/>
  <c r="AC67" i="17"/>
  <c r="AD67" i="17"/>
  <c r="AE67" i="17" s="1"/>
  <c r="AF67" i="17" s="1"/>
  <c r="AG67" i="17" s="1"/>
  <c r="W71" i="17"/>
  <c r="V72" i="17" s="1"/>
  <c r="X68" i="8"/>
  <c r="Y68" i="8" s="1"/>
  <c r="V69" i="8"/>
  <c r="W69" i="8" s="1"/>
  <c r="X69" i="8" s="1"/>
  <c r="Y69" i="8" s="1"/>
  <c r="T72" i="8"/>
  <c r="U72" i="8" s="1"/>
  <c r="I71" i="8"/>
  <c r="J71" i="8" s="1"/>
  <c r="G73" i="8"/>
  <c r="H73" i="8" s="1"/>
  <c r="P70" i="8"/>
  <c r="Q70" i="8" s="1"/>
  <c r="U35" i="8"/>
  <c r="T36" i="8" s="1"/>
  <c r="V36" i="8" s="1"/>
  <c r="W36" i="8" s="1"/>
  <c r="X36" i="8" s="1"/>
  <c r="Y36" i="8" s="1"/>
  <c r="H117" i="8"/>
  <c r="I117" i="8" s="1"/>
  <c r="J117" i="8" s="1"/>
  <c r="L117" i="8" s="1"/>
  <c r="D32" i="5"/>
  <c r="E32" i="5" s="1"/>
  <c r="G45" i="7"/>
  <c r="J45" i="7" s="1"/>
  <c r="K45" i="7" s="1"/>
  <c r="D46" i="7"/>
  <c r="I122" i="17" l="1"/>
  <c r="J121" i="17"/>
  <c r="AB68" i="17"/>
  <c r="AD68" i="17" s="1"/>
  <c r="AE68" i="17" s="1"/>
  <c r="AF68" i="17" s="1"/>
  <c r="AG68" i="17" s="1"/>
  <c r="AC68" i="17"/>
  <c r="W72" i="17"/>
  <c r="R70" i="8"/>
  <c r="V70" i="8" s="1"/>
  <c r="W70" i="8" s="1"/>
  <c r="P71" i="8"/>
  <c r="Q71" i="8" s="1"/>
  <c r="G74" i="8"/>
  <c r="H74" i="8" s="1"/>
  <c r="T73" i="8"/>
  <c r="U73" i="8" s="1"/>
  <c r="I72" i="8"/>
  <c r="J72" i="8" s="1"/>
  <c r="U36" i="8"/>
  <c r="H118" i="8"/>
  <c r="I118" i="8" s="1"/>
  <c r="J118" i="8" s="1"/>
  <c r="L118" i="8" s="1"/>
  <c r="D47" i="7"/>
  <c r="G46" i="7"/>
  <c r="J46" i="7" s="1"/>
  <c r="K46" i="7" s="1"/>
  <c r="D33" i="5"/>
  <c r="E33" i="5" s="1"/>
  <c r="J122" i="17" l="1"/>
  <c r="I123" i="17"/>
  <c r="AB69" i="17"/>
  <c r="AD69" i="17" s="1"/>
  <c r="AE69" i="17" s="1"/>
  <c r="AF69" i="17" s="1"/>
  <c r="AG69" i="17" s="1"/>
  <c r="AC69" i="17"/>
  <c r="AB70" i="17" s="1"/>
  <c r="V73" i="17"/>
  <c r="W73" i="17"/>
  <c r="V74" i="17" s="1"/>
  <c r="X70" i="8"/>
  <c r="Y70" i="8" s="1"/>
  <c r="R71" i="8"/>
  <c r="V71" i="8" s="1"/>
  <c r="W71" i="8" s="1"/>
  <c r="X71" i="8" s="1"/>
  <c r="Y71" i="8" s="1"/>
  <c r="T74" i="8"/>
  <c r="U74" i="8" s="1"/>
  <c r="G75" i="8"/>
  <c r="H75" i="8" s="1"/>
  <c r="P72" i="8"/>
  <c r="Q72" i="8" s="1"/>
  <c r="I73" i="8"/>
  <c r="J73" i="8" s="1"/>
  <c r="T37" i="8"/>
  <c r="V37" i="8" s="1"/>
  <c r="W37" i="8" s="1"/>
  <c r="X37" i="8" s="1"/>
  <c r="Y37" i="8" s="1"/>
  <c r="H119" i="8"/>
  <c r="I119" i="8" s="1"/>
  <c r="J119" i="8" s="1"/>
  <c r="L119" i="8" s="1"/>
  <c r="D34" i="5"/>
  <c r="E34" i="5" s="1"/>
  <c r="D48" i="7"/>
  <c r="G47" i="7"/>
  <c r="J47" i="7" s="1"/>
  <c r="K47" i="7" s="1"/>
  <c r="I124" i="17" l="1"/>
  <c r="J123" i="17"/>
  <c r="AC70" i="17"/>
  <c r="AB71" i="17" s="1"/>
  <c r="AD70" i="17"/>
  <c r="AE70" i="17" s="1"/>
  <c r="AF70" i="17" s="1"/>
  <c r="AG70" i="17" s="1"/>
  <c r="W74" i="17"/>
  <c r="R72" i="8"/>
  <c r="V72" i="8" s="1"/>
  <c r="W72" i="8" s="1"/>
  <c r="P73" i="8"/>
  <c r="Q73" i="8" s="1"/>
  <c r="R73" i="8" s="1"/>
  <c r="T75" i="8"/>
  <c r="U75" i="8" s="1"/>
  <c r="I74" i="8"/>
  <c r="J74" i="8" s="1"/>
  <c r="G76" i="8"/>
  <c r="H76" i="8" s="1"/>
  <c r="U37" i="8"/>
  <c r="H120" i="8"/>
  <c r="I120" i="8" s="1"/>
  <c r="J120" i="8" s="1"/>
  <c r="L120" i="8" s="1"/>
  <c r="D49" i="7"/>
  <c r="G48" i="7"/>
  <c r="J48" i="7" s="1"/>
  <c r="K48" i="7" s="1"/>
  <c r="D35" i="5"/>
  <c r="E35" i="5" s="1"/>
  <c r="J124" i="17" l="1"/>
  <c r="I125" i="17"/>
  <c r="AC71" i="17"/>
  <c r="AD71" i="17"/>
  <c r="AE71" i="17" s="1"/>
  <c r="AF71" i="17" s="1"/>
  <c r="AG71" i="17" s="1"/>
  <c r="V75" i="17"/>
  <c r="X72" i="8"/>
  <c r="Y72" i="8" s="1"/>
  <c r="V73" i="8"/>
  <c r="W73" i="8" s="1"/>
  <c r="X73" i="8" s="1"/>
  <c r="Y73" i="8" s="1"/>
  <c r="P74" i="8"/>
  <c r="Q74" i="8" s="1"/>
  <c r="R74" i="8" s="1"/>
  <c r="T76" i="8"/>
  <c r="U76" i="8" s="1"/>
  <c r="I75" i="8"/>
  <c r="J75" i="8" s="1"/>
  <c r="G77" i="8"/>
  <c r="H77" i="8" s="1"/>
  <c r="T38" i="8"/>
  <c r="H121" i="8"/>
  <c r="I121" i="8" s="1"/>
  <c r="J121" i="8" s="1"/>
  <c r="L121" i="8" s="1"/>
  <c r="D36" i="5"/>
  <c r="E36" i="5" s="1"/>
  <c r="G49" i="7"/>
  <c r="J49" i="7" s="1"/>
  <c r="K49" i="7" s="1"/>
  <c r="D50" i="7"/>
  <c r="I126" i="17" l="1"/>
  <c r="J125" i="17"/>
  <c r="AB72" i="17"/>
  <c r="AD72" i="17" s="1"/>
  <c r="AE72" i="17" s="1"/>
  <c r="AF72" i="17" s="1"/>
  <c r="AG72" i="17" s="1"/>
  <c r="AC72" i="17"/>
  <c r="W75" i="17"/>
  <c r="V74" i="8"/>
  <c r="W74" i="8" s="1"/>
  <c r="X74" i="8" s="1"/>
  <c r="Y74" i="8" s="1"/>
  <c r="T77" i="8"/>
  <c r="U77" i="8" s="1"/>
  <c r="G78" i="8"/>
  <c r="H78" i="8" s="1"/>
  <c r="I76" i="8"/>
  <c r="J76" i="8" s="1"/>
  <c r="P75" i="8"/>
  <c r="Q75" i="8" s="1"/>
  <c r="U38" i="8"/>
  <c r="P38" i="8" s="1"/>
  <c r="Q38" i="8" s="1"/>
  <c r="R38" i="8" s="1"/>
  <c r="H122" i="8"/>
  <c r="I122" i="8" s="1"/>
  <c r="J122" i="8" s="1"/>
  <c r="L122" i="8" s="1"/>
  <c r="D37" i="5"/>
  <c r="E37" i="5" s="1"/>
  <c r="D51" i="7"/>
  <c r="G50" i="7"/>
  <c r="J50" i="7" s="1"/>
  <c r="K50" i="7" s="1"/>
  <c r="J126" i="17" l="1"/>
  <c r="I127" i="17"/>
  <c r="AB73" i="17"/>
  <c r="AD73" i="17" s="1"/>
  <c r="AE73" i="17" s="1"/>
  <c r="AF73" i="17" s="1"/>
  <c r="AG73" i="17" s="1"/>
  <c r="AC73" i="17"/>
  <c r="AB74" i="17" s="1"/>
  <c r="V76" i="17"/>
  <c r="R75" i="8"/>
  <c r="V75" i="8" s="1"/>
  <c r="W75" i="8" s="1"/>
  <c r="V38" i="8"/>
  <c r="W38" i="8" s="1"/>
  <c r="X38" i="8" s="1"/>
  <c r="Y38" i="8" s="1"/>
  <c r="T78" i="8"/>
  <c r="U78" i="8" s="1"/>
  <c r="G79" i="8"/>
  <c r="H79" i="8" s="1"/>
  <c r="I77" i="8"/>
  <c r="J77" i="8" s="1"/>
  <c r="P76" i="8"/>
  <c r="Q76" i="8" s="1"/>
  <c r="H123" i="8"/>
  <c r="I123" i="8" s="1"/>
  <c r="J123" i="8" s="1"/>
  <c r="L123" i="8" s="1"/>
  <c r="D38" i="5"/>
  <c r="E38" i="5" s="1"/>
  <c r="D52" i="7"/>
  <c r="G51" i="7"/>
  <c r="J51" i="7" s="1"/>
  <c r="K51" i="7" s="1"/>
  <c r="I128" i="17" l="1"/>
  <c r="J127" i="17"/>
  <c r="AC74" i="17"/>
  <c r="AB75" i="17" s="1"/>
  <c r="AD74" i="17"/>
  <c r="AE74" i="17" s="1"/>
  <c r="AF74" i="17" s="1"/>
  <c r="AG74" i="17" s="1"/>
  <c r="W76" i="17"/>
  <c r="R76" i="8"/>
  <c r="V76" i="8" s="1"/>
  <c r="W76" i="8" s="1"/>
  <c r="X75" i="8"/>
  <c r="Y75" i="8" s="1"/>
  <c r="AB15" i="8"/>
  <c r="AB16" i="8"/>
  <c r="AB17" i="8"/>
  <c r="AB18" i="8" s="1"/>
  <c r="T79" i="8"/>
  <c r="U79" i="8" s="1"/>
  <c r="I78" i="8"/>
  <c r="J78" i="8" s="1"/>
  <c r="P77" i="8"/>
  <c r="Q77" i="8" s="1"/>
  <c r="G80" i="8"/>
  <c r="H80" i="8" s="1"/>
  <c r="H124" i="8"/>
  <c r="I124" i="8" s="1"/>
  <c r="J124" i="8" s="1"/>
  <c r="L124" i="8" s="1"/>
  <c r="D39" i="5"/>
  <c r="E39" i="5" s="1"/>
  <c r="D53" i="7"/>
  <c r="G52" i="7"/>
  <c r="J52" i="7" s="1"/>
  <c r="K52" i="7" s="1"/>
  <c r="J128" i="17" l="1"/>
  <c r="I129" i="17"/>
  <c r="AC75" i="17"/>
  <c r="AB76" i="17" s="1"/>
  <c r="AD75" i="17"/>
  <c r="AE75" i="17" s="1"/>
  <c r="AF75" i="17" s="1"/>
  <c r="AG75" i="17" s="1"/>
  <c r="V77" i="17"/>
  <c r="W77" i="17"/>
  <c r="R77" i="8"/>
  <c r="V77" i="8" s="1"/>
  <c r="W77" i="8" s="1"/>
  <c r="X76" i="8"/>
  <c r="Y76" i="8" s="1"/>
  <c r="P78" i="8"/>
  <c r="Q78" i="8" s="1"/>
  <c r="R78" i="8" s="1"/>
  <c r="I79" i="8"/>
  <c r="J79" i="8" s="1"/>
  <c r="G81" i="8"/>
  <c r="H81" i="8" s="1"/>
  <c r="T80" i="8"/>
  <c r="U80" i="8" s="1"/>
  <c r="H125" i="8"/>
  <c r="I125" i="8" s="1"/>
  <c r="J125" i="8" s="1"/>
  <c r="L125" i="8" s="1"/>
  <c r="D40" i="5"/>
  <c r="E40" i="5" s="1"/>
  <c r="G53" i="7"/>
  <c r="J53" i="7" s="1"/>
  <c r="K53" i="7" s="1"/>
  <c r="D54" i="7"/>
  <c r="I130" i="17" l="1"/>
  <c r="J130" i="17" s="1"/>
  <c r="J129" i="17"/>
  <c r="AC76" i="17"/>
  <c r="AD76" i="17"/>
  <c r="AE76" i="17" s="1"/>
  <c r="AF76" i="17" s="1"/>
  <c r="AG76" i="17" s="1"/>
  <c r="V78" i="17"/>
  <c r="W78" i="17"/>
  <c r="V79" i="17" s="1"/>
  <c r="X77" i="8"/>
  <c r="Y77" i="8" s="1"/>
  <c r="V78" i="8"/>
  <c r="W78" i="8" s="1"/>
  <c r="X78" i="8" s="1"/>
  <c r="Y78" i="8" s="1"/>
  <c r="T81" i="8"/>
  <c r="U81" i="8" s="1"/>
  <c r="P79" i="8"/>
  <c r="Q79" i="8" s="1"/>
  <c r="G82" i="8"/>
  <c r="H82" i="8" s="1"/>
  <c r="I80" i="8"/>
  <c r="J80" i="8" s="1"/>
  <c r="H126" i="8"/>
  <c r="I126" i="8" s="1"/>
  <c r="J126" i="8" s="1"/>
  <c r="L126" i="8" s="1"/>
  <c r="D55" i="7"/>
  <c r="G54" i="7"/>
  <c r="J54" i="7" s="1"/>
  <c r="K54" i="7" s="1"/>
  <c r="D41" i="5"/>
  <c r="E41" i="5" s="1"/>
  <c r="AB77" i="17" l="1"/>
  <c r="AD77" i="17" s="1"/>
  <c r="AE77" i="17" s="1"/>
  <c r="AF77" i="17" s="1"/>
  <c r="AG77" i="17" s="1"/>
  <c r="AC77" i="17"/>
  <c r="AB78" i="17" s="1"/>
  <c r="AC78" i="17" s="1"/>
  <c r="AB79" i="17" s="1"/>
  <c r="AC79" i="17" s="1"/>
  <c r="W79" i="17"/>
  <c r="V80" i="17" s="1"/>
  <c r="R79" i="8"/>
  <c r="V79" i="8" s="1"/>
  <c r="W79" i="8" s="1"/>
  <c r="T82" i="8"/>
  <c r="U82" i="8" s="1"/>
  <c r="I81" i="8"/>
  <c r="J81" i="8" s="1"/>
  <c r="P80" i="8"/>
  <c r="Q80" i="8" s="1"/>
  <c r="G83" i="8"/>
  <c r="H83" i="8" s="1"/>
  <c r="H127" i="8"/>
  <c r="I127" i="8" s="1"/>
  <c r="J127" i="8" s="1"/>
  <c r="L127" i="8" s="1"/>
  <c r="D42" i="5"/>
  <c r="E42" i="5" s="1"/>
  <c r="D56" i="7"/>
  <c r="G55" i="7"/>
  <c r="J55" i="7" s="1"/>
  <c r="K55" i="7" s="1"/>
  <c r="AB80" i="17" l="1"/>
  <c r="AC80" i="17"/>
  <c r="AB81" i="17" s="1"/>
  <c r="AC81" i="17" s="1"/>
  <c r="AB82" i="17" s="1"/>
  <c r="AC82" i="17" s="1"/>
  <c r="AB83" i="17" s="1"/>
  <c r="AC83" i="17" s="1"/>
  <c r="AB84" i="17" s="1"/>
  <c r="AC84" i="17" s="1"/>
  <c r="AD79" i="17"/>
  <c r="AE79" i="17" s="1"/>
  <c r="AF79" i="17" s="1"/>
  <c r="AG79" i="17" s="1"/>
  <c r="AD78" i="17"/>
  <c r="AE78" i="17" s="1"/>
  <c r="AF78" i="17" s="1"/>
  <c r="AG78" i="17" s="1"/>
  <c r="W80" i="17"/>
  <c r="AD80" i="17"/>
  <c r="AE80" i="17" s="1"/>
  <c r="AF80" i="17" s="1"/>
  <c r="AG80" i="17" s="1"/>
  <c r="R80" i="8"/>
  <c r="V80" i="8" s="1"/>
  <c r="W80" i="8" s="1"/>
  <c r="X79" i="8"/>
  <c r="Y79" i="8" s="1"/>
  <c r="T83" i="8"/>
  <c r="U83" i="8" s="1"/>
  <c r="G84" i="8"/>
  <c r="P81" i="8"/>
  <c r="Q81" i="8" s="1"/>
  <c r="I82" i="8"/>
  <c r="J82" i="8" s="1"/>
  <c r="H128" i="8"/>
  <c r="I128" i="8" s="1"/>
  <c r="J128" i="8" s="1"/>
  <c r="L128" i="8" s="1"/>
  <c r="D43" i="5"/>
  <c r="E43" i="5" s="1"/>
  <c r="D57" i="7"/>
  <c r="G57" i="7" s="1"/>
  <c r="J57" i="7" s="1"/>
  <c r="K57" i="7" s="1"/>
  <c r="G56" i="7"/>
  <c r="J56" i="7" s="1"/>
  <c r="K56" i="7" s="1"/>
  <c r="V81" i="17" l="1"/>
  <c r="AD81" i="17" s="1"/>
  <c r="AE81" i="17" s="1"/>
  <c r="AF81" i="17" s="1"/>
  <c r="AG81" i="17" s="1"/>
  <c r="W81" i="17"/>
  <c r="R81" i="8"/>
  <c r="V81" i="8" s="1"/>
  <c r="W81" i="8" s="1"/>
  <c r="X80" i="8"/>
  <c r="Y80" i="8" s="1"/>
  <c r="H84" i="8"/>
  <c r="I84" i="8" s="1"/>
  <c r="J84" i="8" s="1"/>
  <c r="T84" i="8"/>
  <c r="U84" i="8" s="1"/>
  <c r="P84" i="8" s="1"/>
  <c r="I83" i="8"/>
  <c r="J83" i="8" s="1"/>
  <c r="P82" i="8"/>
  <c r="Q82" i="8" s="1"/>
  <c r="H129" i="8"/>
  <c r="I129" i="8" s="1"/>
  <c r="J129" i="8" s="1"/>
  <c r="L129" i="8" s="1"/>
  <c r="D44" i="5"/>
  <c r="E44" i="5" s="1"/>
  <c r="D45" i="5"/>
  <c r="V82" i="17" l="1"/>
  <c r="AD82" i="17" s="1"/>
  <c r="AE82" i="17" s="1"/>
  <c r="AF82" i="17" s="1"/>
  <c r="AG82" i="17" s="1"/>
  <c r="W82" i="17"/>
  <c r="R82" i="8"/>
  <c r="V82" i="8" s="1"/>
  <c r="W82" i="8" s="1"/>
  <c r="X81" i="8"/>
  <c r="Y81" i="8" s="1"/>
  <c r="Q84" i="8"/>
  <c r="R84" i="8" s="1"/>
  <c r="P83" i="8"/>
  <c r="Q83" i="8" s="1"/>
  <c r="R83" i="8" s="1"/>
  <c r="H130" i="8"/>
  <c r="I130" i="8" s="1"/>
  <c r="J130" i="8" s="1"/>
  <c r="L130" i="8" s="1"/>
  <c r="E45" i="5"/>
  <c r="I7" i="5" s="1"/>
  <c r="H13" i="5" s="1"/>
  <c r="H7" i="5"/>
  <c r="V83" i="17" l="1"/>
  <c r="AD83" i="17" s="1"/>
  <c r="AE83" i="17" s="1"/>
  <c r="AF83" i="17" s="1"/>
  <c r="AG83" i="17" s="1"/>
  <c r="X82" i="8"/>
  <c r="Y82" i="8" s="1"/>
  <c r="N92" i="8"/>
  <c r="N96" i="8"/>
  <c r="N104" i="8"/>
  <c r="N126" i="8"/>
  <c r="N123" i="8"/>
  <c r="N121" i="8"/>
  <c r="N101" i="8"/>
  <c r="N113" i="8"/>
  <c r="N97" i="8"/>
  <c r="N115" i="8"/>
  <c r="N130" i="8"/>
  <c r="N91" i="8"/>
  <c r="N125" i="8"/>
  <c r="N128" i="8"/>
  <c r="N99" i="8"/>
  <c r="N93" i="8"/>
  <c r="N120" i="8"/>
  <c r="N119" i="8"/>
  <c r="N98" i="8"/>
  <c r="N124" i="8"/>
  <c r="N102" i="8"/>
  <c r="N106" i="8"/>
  <c r="N112" i="8"/>
  <c r="N109" i="8"/>
  <c r="N110" i="8"/>
  <c r="N117" i="8"/>
  <c r="N116" i="8"/>
  <c r="N103" i="8"/>
  <c r="N105" i="8"/>
  <c r="N108" i="8"/>
  <c r="N111" i="8"/>
  <c r="N95" i="8"/>
  <c r="N94" i="8"/>
  <c r="N118" i="8"/>
  <c r="N114" i="8"/>
  <c r="N127" i="8"/>
  <c r="N107" i="8"/>
  <c r="N100" i="8"/>
  <c r="N122" i="8"/>
  <c r="N129" i="8"/>
  <c r="V84" i="8"/>
  <c r="W84" i="8" s="1"/>
  <c r="X84" i="8" s="1"/>
  <c r="Y84" i="8" s="1"/>
  <c r="W83" i="17" l="1"/>
  <c r="V84" i="17" s="1"/>
  <c r="W84" i="17" s="1"/>
  <c r="R84" i="17" s="1"/>
  <c r="S84" i="17" s="1"/>
  <c r="T84" i="17" s="1"/>
  <c r="AD84" i="17" s="1"/>
  <c r="AE84" i="17" s="1"/>
  <c r="AF84" i="17" s="1"/>
  <c r="V83" i="8"/>
  <c r="W83" i="8" s="1"/>
  <c r="X83" i="8" s="1"/>
  <c r="AG84" i="17" l="1"/>
  <c r="AJ40" i="17"/>
  <c r="Y83" i="8"/>
  <c r="AB42" i="8" s="1"/>
  <c r="AB41" i="8"/>
  <c r="AJ42" i="17" l="1"/>
  <c r="AJ43" i="17" s="1"/>
  <c r="AJ41" i="17"/>
  <c r="AB43" i="8"/>
  <c r="AB44" i="8" s="1"/>
  <c r="W12" i="17"/>
  <c r="R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Muchen He</author>
  </authors>
  <commentList>
    <comment ref="H6" authorId="0" shapeId="0" xr:uid="{D5EBA629-432B-FE48-BEDD-00EA8AAE704B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https://ases.conference-services.net/resources/252/2859/pdf/SOLAR2012_0783_full%20paper.pdf</t>
        </r>
      </text>
    </comment>
    <comment ref="I7" authorId="0" shapeId="0" xr:uid="{BAFFC7D8-7834-6C46-AB17-C0DFAE728CF9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https://www.solarpaneltalk.com/forum/solar-power-lighting/solar-lighting-for-homes-and-gardens/14683-lifespan-of-solar-charger-solar-controller-and-battery-agm-sla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88" authorId="0" shapeId="0" xr:uid="{12D4DF5B-590C-440D-A7CB-9C8E4F8B6D5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8" authorId="0" shapeId="0" xr:uid="{5A917467-B0A8-8F47-BD67-8182585BD8A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sharedStrings.xml><?xml version="1.0" encoding="utf-8"?>
<sst xmlns="http://schemas.openxmlformats.org/spreadsheetml/2006/main" count="676" uniqueCount="257">
  <si>
    <t>Daily average demand</t>
  </si>
  <si>
    <t>kWh per day</t>
  </si>
  <si>
    <t>SYSTEM REQUIREMENTS</t>
  </si>
  <si>
    <t>per W</t>
  </si>
  <si>
    <t>Type</t>
  </si>
  <si>
    <t>Part</t>
  </si>
  <si>
    <t>Cost</t>
  </si>
  <si>
    <t>Performance</t>
  </si>
  <si>
    <t>CCA</t>
  </si>
  <si>
    <t>per m^2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</si>
  <si>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</si>
  <si>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</si>
  <si>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</si>
  <si>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</si>
  <si>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</si>
  <si>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</si>
  <si>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</si>
  <si>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</si>
  <si>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</si>
  <si>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</si>
  <si>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</si>
  <si>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</si>
  <si>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</si>
  <si>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</si>
  <si>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</si>
  <si>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</si>
  <si>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</si>
  <si>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</si>
  <si>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</si>
  <si>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</si>
  <si>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</si>
  <si>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</si>
  <si>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</si>
  <si>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</si>
  <si>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</si>
  <si>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</si>
  <si>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</si>
  <si>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</si>
  <si>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</si>
  <si>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</si>
  <si>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</si>
  <si>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</si>
  <si>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</si>
  <si>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</si>
  <si>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Usually solar warranty of 25 years (free replacement til then)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</si>
  <si>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</si>
  <si>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</si>
  <si>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</si>
  <si>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</si>
  <si>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</si>
  <si>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</si>
  <si>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</si>
  <si>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</si>
  <si>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</si>
  <si>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</si>
  <si>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</si>
  <si>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</si>
  <si>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</si>
  <si>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</si>
  <si>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</si>
  <si>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</si>
  <si>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Usage</t>
  </si>
  <si>
    <t>[kWh]</t>
  </si>
  <si>
    <t>Inflation Rate</t>
  </si>
  <si>
    <t>5 years</t>
  </si>
  <si>
    <t>20 years</t>
  </si>
  <si>
    <t>40 years</t>
  </si>
  <si>
    <t>Off-peak</t>
  </si>
  <si>
    <t>Mid-peak</t>
  </si>
  <si>
    <t>On-peak</t>
  </si>
  <si>
    <t>Sources:</t>
  </si>
  <si>
    <t>https://www.oeb.ca/rates-and-your-bill/electricity-rates/historical-electricity-rates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</si>
  <si>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</si>
  <si>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</si>
  <si>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</si>
  <si>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</si>
  <si>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</si>
  <si>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</si>
  <si>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</si>
  <si>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</si>
  <si>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</si>
  <si>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</si>
  <si>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</si>
  <si>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</si>
  <si>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</si>
  <si>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</si>
  <si>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</si>
  <si>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</si>
  <si>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</si>
  <si>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</si>
  <si>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</si>
  <si>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</si>
  <si>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</si>
  <si>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</si>
  <si>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</si>
  <si>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</si>
  <si>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</si>
  <si>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</si>
  <si>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</si>
  <si>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</si>
  <si>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</si>
  <si>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</si>
  <si>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</si>
  <si>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</si>
  <si>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</si>
  <si>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</si>
  <si>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</si>
  <si>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</si>
  <si>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</si>
  <si>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</si>
  <si>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</si>
  <si>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</si>
  <si>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</si>
  <si>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</si>
  <si>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</si>
  <si>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</si>
  <si>
    <t>Power</t>
  </si>
  <si>
    <t>[kW]</t>
  </si>
  <si>
    <t>Electrical</t>
  </si>
  <si>
    <t>Mechanical</t>
  </si>
  <si>
    <t>N/A</t>
  </si>
  <si>
    <t>Roof pitch</t>
  </si>
  <si>
    <t>DIY</t>
  </si>
  <si>
    <t>Parts List</t>
  </si>
  <si>
    <t>Qty.</t>
  </si>
  <si>
    <t>CCA class</t>
  </si>
  <si>
    <t>Depreciation</t>
  </si>
  <si>
    <t>Specifications</t>
  </si>
  <si>
    <t>W/panel</t>
  </si>
  <si>
    <t>Cost ea.</t>
  </si>
  <si>
    <t>Charge controller</t>
  </si>
  <si>
    <t>Inverter</t>
  </si>
  <si>
    <t>W</t>
  </si>
  <si>
    <t>Battery</t>
  </si>
  <si>
    <t>Wh/battery</t>
  </si>
  <si>
    <t>Tax rate</t>
  </si>
  <si>
    <t>Sales Tax</t>
  </si>
  <si>
    <t>https://www.canada.ca/en/revenue-agency/services/tax/businesses/topics/corporations/corporation-tax-rates.html</t>
  </si>
  <si>
    <t>https://en.wikipedia.org/wiki/Canada_small_business_tax_rate</t>
  </si>
  <si>
    <t>Installation</t>
  </si>
  <si>
    <t>Solar technician sallary</t>
  </si>
  <si>
    <t>per hour</t>
  </si>
  <si>
    <t>https://ca.indeed.com/Solar-Technician-jobs-in-Ontario?vjk=37ca25b9096f3721</t>
  </si>
  <si>
    <t>https://work.chron.com/pay-scale-solar-energy-technician-19567.html</t>
  </si>
  <si>
    <t>Installation time</t>
  </si>
  <si>
    <t>hours</t>
  </si>
  <si>
    <t>Salvage</t>
  </si>
  <si>
    <t>Replacement Period</t>
  </si>
  <si>
    <t>R/A</t>
  </si>
  <si>
    <t>Effective</t>
  </si>
  <si>
    <t>One Year Power Estimate</t>
  </si>
  <si>
    <t>Generated</t>
  </si>
  <si>
    <t>Wh</t>
  </si>
  <si>
    <t>Solar efficiency</t>
  </si>
  <si>
    <t>Performance degration</t>
  </si>
  <si>
    <t>Failure rate</t>
  </si>
  <si>
    <t>years</t>
  </si>
  <si>
    <t>Government Incentives to reward renewable energy</t>
  </si>
  <si>
    <t>Alberta</t>
  </si>
  <si>
    <t>Edmonton</t>
  </si>
  <si>
    <t>Installation rebates</t>
  </si>
  <si>
    <t>Power payback</t>
  </si>
  <si>
    <t>Power Cost</t>
  </si>
  <si>
    <t>Rebate</t>
  </si>
  <si>
    <t>Maintainance</t>
  </si>
  <si>
    <t>Buyback</t>
  </si>
  <si>
    <t>Benefits</t>
  </si>
  <si>
    <t>Lesser of:</t>
  </si>
  <si>
    <t>of installation or</t>
  </si>
  <si>
    <t>Solar</t>
  </si>
  <si>
    <t>Grid</t>
  </si>
  <si>
    <t>UCC Change</t>
  </si>
  <si>
    <t>Taxable Income</t>
  </si>
  <si>
    <t>Book Val.</t>
  </si>
  <si>
    <t>Cashflow</t>
  </si>
  <si>
    <t>Tax</t>
  </si>
  <si>
    <t>Tax and Depreciation</t>
  </si>
  <si>
    <t>Relative Benefit</t>
  </si>
  <si>
    <t>[$ nominal]</t>
  </si>
  <si>
    <t>NPV</t>
  </si>
  <si>
    <t>In losses</t>
  </si>
  <si>
    <t>EAUC</t>
  </si>
  <si>
    <t>Loss</t>
  </si>
  <si>
    <t>Lost energy</t>
  </si>
  <si>
    <t>Opp. Cost</t>
  </si>
  <si>
    <t>Challenger</t>
  </si>
  <si>
    <t>Defender</t>
  </si>
  <si>
    <t>Lifetime</t>
  </si>
  <si>
    <t>Period</t>
  </si>
  <si>
    <t>ATCF Nominal MARR</t>
  </si>
  <si>
    <t>Energy Cost</t>
  </si>
  <si>
    <t>PV Panels</t>
  </si>
  <si>
    <t>Other Parts</t>
  </si>
  <si>
    <t>Taxed Cost</t>
  </si>
  <si>
    <t>Real IRR</t>
  </si>
  <si>
    <t>Nominal IRR</t>
  </si>
  <si>
    <t>Net Saved</t>
  </si>
  <si>
    <t>Net</t>
  </si>
  <si>
    <t>NPV Savings</t>
  </si>
  <si>
    <t>EUAB</t>
  </si>
  <si>
    <t>Medium setup</t>
  </si>
  <si>
    <t>5 Year Analysis</t>
  </si>
  <si>
    <t>20 Year Analysis</t>
  </si>
  <si>
    <t>40 Year Analysis</t>
  </si>
  <si>
    <t>Dollar per watt</t>
  </si>
  <si>
    <t>https://kubyenergy.ca/blog/solar-glossary</t>
  </si>
  <si>
    <t>Capacity</t>
  </si>
  <si>
    <t>[$/kW]</t>
  </si>
  <si>
    <t>Model Cost</t>
  </si>
  <si>
    <t>Dollar per watt linear model</t>
  </si>
  <si>
    <t>System W</t>
  </si>
  <si>
    <t>kW</t>
  </si>
  <si>
    <t>Fixed cost</t>
  </si>
  <si>
    <t>Variable cost</t>
  </si>
  <si>
    <t>Fixed Cost</t>
  </si>
  <si>
    <t>/kW</t>
  </si>
  <si>
    <t>Total install cost</t>
  </si>
  <si>
    <t>Consumed</t>
  </si>
  <si>
    <t>Solar Panel Replacement Analysis</t>
  </si>
  <si>
    <t>replaced every</t>
  </si>
  <si>
    <t>Labour</t>
  </si>
  <si>
    <t>Payment Options</t>
  </si>
  <si>
    <t>Loan</t>
  </si>
  <si>
    <t>Cash</t>
  </si>
  <si>
    <t>Prime rate</t>
  </si>
  <si>
    <t>https://ycharts.com/indicators/canada_prime_rate_monthly</t>
  </si>
  <si>
    <t>Option</t>
  </si>
  <si>
    <t>Interest</t>
  </si>
  <si>
    <t>Allowed loan terms</t>
  </si>
  <si>
    <t>Terms</t>
  </si>
  <si>
    <t>Fraction of cost</t>
  </si>
  <si>
    <t>CCA rate</t>
  </si>
  <si>
    <t>Replacement</t>
  </si>
  <si>
    <t>5, 10, 15</t>
  </si>
  <si>
    <t>A</t>
  </si>
  <si>
    <t>B</t>
  </si>
  <si>
    <t>Depreciation 1</t>
  </si>
  <si>
    <t>Depreciation 2</t>
  </si>
  <si>
    <t>UCC</t>
  </si>
  <si>
    <t>UCC account 1</t>
  </si>
  <si>
    <t>Cost basis</t>
  </si>
  <si>
    <t>UCC account 2</t>
  </si>
  <si>
    <t>UCC account 3</t>
  </si>
  <si>
    <t>Buy back incrase rate</t>
  </si>
  <si>
    <t>https://www.bchydro.com/news/conservation/2016/sell-electricity-at-your-home.html</t>
  </si>
  <si>
    <t>Corrected</t>
  </si>
  <si>
    <t>actual</t>
  </si>
  <si>
    <t>desired</t>
  </si>
  <si>
    <t>Correction Factor</t>
  </si>
  <si>
    <t>result</t>
  </si>
  <si>
    <t>Excess</t>
  </si>
  <si>
    <t>Average annual cost</t>
  </si>
  <si>
    <t>/10 kW</t>
  </si>
  <si>
    <t>/ W</t>
  </si>
  <si>
    <t>Depreciation 3</t>
  </si>
  <si>
    <t>Analyizes which loan option is the best</t>
  </si>
  <si>
    <t>Using option B with 40 year analysis period as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</si>
</sst>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%"/>
    <numFmt numFmtId="167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0"/>
      <color theme="1"/>
      <name val="Open Sans Regular"/>
    </font>
    <font>
      <sz val="11"/>
      <color theme="1"/>
      <name val="Open Sans Regular"/>
    </font>
    <font>
      <b/>
      <sz val="11"/>
      <color theme="1"/>
      <name val="Open Sans Regular"/>
    </font>
    <font>
      <sz val="11"/>
      <color theme="0" tint="-0.14999847407452621"/>
      <name val="Open Sans Regula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5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6" fontId="0" fillId="0" borderId="0" xfId="0" applyNumberFormat="1"/>
    <xf numFmtId="1" fontId="0" fillId="0" borderId="0" xfId="0" applyNumberFormat="1"/>
    <xf numFmtId="0" fontId="2" fillId="0" borderId="1" xfId="0" applyFont="1" applyBorder="1"/>
    <xf numFmtId="164" fontId="2" fillId="0" borderId="1" xfId="1" applyFont="1" applyBorder="1"/>
    <xf numFmtId="44" fontId="2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3" fillId="0" borderId="1" xfId="3" applyNumberFormat="1" applyBorder="1"/>
    <xf numFmtId="0" fontId="2" fillId="0" borderId="6" xfId="0" applyFont="1" applyBorder="1" applyAlignment="1">
      <alignment horizontal="center" vertical="center"/>
    </xf>
    <xf numFmtId="0" fontId="3" fillId="0" borderId="7" xfId="3" applyBorder="1"/>
    <xf numFmtId="164" fontId="3" fillId="0" borderId="5" xfId="3" applyNumberFormat="1" applyBorder="1"/>
    <xf numFmtId="0" fontId="3" fillId="0" borderId="9" xfId="3" applyBorder="1"/>
    <xf numFmtId="164" fontId="3" fillId="0" borderId="0" xfId="3" applyNumberFormat="1" applyBorder="1"/>
    <xf numFmtId="0" fontId="2" fillId="0" borderId="11" xfId="0" applyFont="1" applyBorder="1"/>
    <xf numFmtId="44" fontId="2" fillId="0" borderId="12" xfId="0" applyNumberFormat="1" applyFont="1" applyBorder="1"/>
    <xf numFmtId="0" fontId="0" fillId="0" borderId="9" xfId="0" applyBorder="1"/>
    <xf numFmtId="164" fontId="0" fillId="0" borderId="0" xfId="1" applyFont="1" applyBorder="1"/>
    <xf numFmtId="164" fontId="0" fillId="0" borderId="0" xfId="1" applyNumberFormat="1" applyFont="1" applyBorder="1"/>
    <xf numFmtId="44" fontId="0" fillId="0" borderId="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164" fontId="5" fillId="2" borderId="1" xfId="1" applyFont="1" applyFill="1" applyBorder="1"/>
    <xf numFmtId="44" fontId="5" fillId="2" borderId="1" xfId="0" applyNumberFormat="1" applyFont="1" applyFill="1" applyBorder="1"/>
    <xf numFmtId="164" fontId="4" fillId="2" borderId="2" xfId="1" applyFont="1" applyFill="1" applyBorder="1"/>
    <xf numFmtId="164" fontId="4" fillId="2" borderId="3" xfId="1" applyFont="1" applyFill="1" applyBorder="1"/>
    <xf numFmtId="164" fontId="4" fillId="2" borderId="4" xfId="1" applyFont="1" applyFill="1" applyBorder="1"/>
    <xf numFmtId="10" fontId="0" fillId="0" borderId="0" xfId="0" applyNumberFormat="1" applyBorder="1"/>
    <xf numFmtId="0" fontId="0" fillId="0" borderId="10" xfId="0" applyBorder="1"/>
    <xf numFmtId="2" fontId="3" fillId="0" borderId="0" xfId="3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9" fontId="0" fillId="0" borderId="0" xfId="0" applyNumberFormat="1" applyBorder="1"/>
    <xf numFmtId="0" fontId="0" fillId="0" borderId="7" xfId="0" applyBorder="1"/>
    <xf numFmtId="0" fontId="2" fillId="0" borderId="12" xfId="0" applyFont="1" applyBorder="1"/>
    <xf numFmtId="0" fontId="0" fillId="0" borderId="0" xfId="0" applyBorder="1"/>
    <xf numFmtId="0" fontId="2" fillId="0" borderId="6" xfId="0" applyFont="1" applyFill="1" applyBorder="1" applyAlignment="1">
      <alignment horizontal="center" vertical="center"/>
    </xf>
    <xf numFmtId="9" fontId="0" fillId="0" borderId="0" xfId="2" applyFont="1"/>
    <xf numFmtId="8" fontId="0" fillId="0" borderId="0" xfId="0" applyNumberFormat="1"/>
    <xf numFmtId="0" fontId="0" fillId="0" borderId="1" xfId="0" applyBorder="1"/>
    <xf numFmtId="0" fontId="8" fillId="0" borderId="0" xfId="4"/>
    <xf numFmtId="0" fontId="2" fillId="0" borderId="2" xfId="0" applyFont="1" applyBorder="1"/>
    <xf numFmtId="1" fontId="2" fillId="0" borderId="3" xfId="0" applyNumberFormat="1" applyFont="1" applyBorder="1"/>
    <xf numFmtId="164" fontId="2" fillId="0" borderId="3" xfId="0" applyNumberFormat="1" applyFont="1" applyBorder="1"/>
    <xf numFmtId="9" fontId="0" fillId="0" borderId="1" xfId="2" applyFont="1" applyBorder="1"/>
    <xf numFmtId="9" fontId="0" fillId="0" borderId="3" xfId="0" applyNumberFormat="1" applyBorder="1"/>
    <xf numFmtId="44" fontId="2" fillId="0" borderId="4" xfId="0" applyNumberFormat="1" applyFont="1" applyBorder="1"/>
    <xf numFmtId="164" fontId="0" fillId="0" borderId="1" xfId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3" fillId="0" borderId="5" xfId="3" applyNumberFormat="1" applyBorder="1" applyAlignment="1">
      <alignment horizontal="center" vertical="center"/>
    </xf>
    <xf numFmtId="164" fontId="3" fillId="0" borderId="0" xfId="3" applyNumberForma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/>
    <xf numFmtId="9" fontId="0" fillId="0" borderId="0" xfId="2" applyFont="1" applyBorder="1"/>
    <xf numFmtId="44" fontId="0" fillId="0" borderId="0" xfId="0" applyNumberFormat="1" applyBorder="1"/>
    <xf numFmtId="0" fontId="0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 applyAlignment="1"/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4" fontId="12" fillId="0" borderId="0" xfId="1" applyFont="1"/>
    <xf numFmtId="9" fontId="12" fillId="0" borderId="0" xfId="0" applyNumberFormat="1" applyFont="1"/>
    <xf numFmtId="0" fontId="12" fillId="0" borderId="0" xfId="0" applyNumberFormat="1" applyFont="1"/>
    <xf numFmtId="44" fontId="12" fillId="0" borderId="0" xfId="0" applyNumberFormat="1" applyFont="1"/>
    <xf numFmtId="0" fontId="13" fillId="0" borderId="0" xfId="0" applyFont="1"/>
    <xf numFmtId="164" fontId="12" fillId="0" borderId="0" xfId="0" applyNumberFormat="1" applyFont="1"/>
    <xf numFmtId="164" fontId="13" fillId="0" borderId="0" xfId="1" applyFont="1"/>
    <xf numFmtId="0" fontId="12" fillId="3" borderId="0" xfId="0" applyFont="1" applyFill="1"/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10" fontId="12" fillId="0" borderId="0" xfId="0" applyNumberFormat="1" applyFont="1"/>
    <xf numFmtId="44" fontId="13" fillId="0" borderId="0" xfId="0" applyNumberFormat="1" applyFont="1"/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 vertical="top"/>
    </xf>
    <xf numFmtId="10" fontId="12" fillId="0" borderId="8" xfId="0" applyNumberFormat="1" applyFont="1" applyBorder="1"/>
    <xf numFmtId="0" fontId="13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2" fillId="0" borderId="10" xfId="0" applyNumberFormat="1" applyFont="1" applyBorder="1"/>
    <xf numFmtId="0" fontId="13" fillId="0" borderId="6" xfId="0" applyFont="1" applyBorder="1"/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top"/>
    </xf>
    <xf numFmtId="44" fontId="12" fillId="0" borderId="10" xfId="0" applyNumberFormat="1" applyFont="1" applyBorder="1"/>
    <xf numFmtId="1" fontId="12" fillId="0" borderId="0" xfId="0" applyNumberFormat="1" applyFont="1"/>
    <xf numFmtId="0" fontId="12" fillId="0" borderId="9" xfId="0" applyFont="1" applyBorder="1"/>
    <xf numFmtId="9" fontId="12" fillId="0" borderId="0" xfId="0" applyNumberFormat="1" applyFont="1" applyBorder="1"/>
    <xf numFmtId="1" fontId="12" fillId="0" borderId="0" xfId="0" applyNumberFormat="1" applyFont="1" applyBorder="1"/>
    <xf numFmtId="44" fontId="12" fillId="0" borderId="0" xfId="0" applyNumberFormat="1" applyFont="1" applyBorder="1"/>
    <xf numFmtId="164" fontId="12" fillId="0" borderId="0" xfId="1" applyFont="1" applyBorder="1"/>
    <xf numFmtId="164" fontId="12" fillId="0" borderId="10" xfId="1" applyFont="1" applyBorder="1"/>
    <xf numFmtId="44" fontId="12" fillId="0" borderId="12" xfId="0" applyNumberFormat="1" applyFont="1" applyBorder="1"/>
    <xf numFmtId="9" fontId="12" fillId="0" borderId="0" xfId="2" applyFont="1" applyBorder="1"/>
    <xf numFmtId="0" fontId="12" fillId="0" borderId="11" xfId="0" applyFont="1" applyBorder="1"/>
    <xf numFmtId="9" fontId="12" fillId="0" borderId="1" xfId="2" applyFont="1" applyBorder="1"/>
    <xf numFmtId="1" fontId="12" fillId="0" borderId="1" xfId="0" applyNumberFormat="1" applyFont="1" applyBorder="1"/>
    <xf numFmtId="44" fontId="12" fillId="0" borderId="1" xfId="0" applyNumberFormat="1" applyFont="1" applyBorder="1"/>
    <xf numFmtId="164" fontId="12" fillId="0" borderId="1" xfId="1" applyFont="1" applyBorder="1"/>
    <xf numFmtId="164" fontId="12" fillId="0" borderId="12" xfId="1" applyFont="1" applyBorder="1"/>
    <xf numFmtId="0" fontId="12" fillId="0" borderId="1" xfId="0" applyFont="1" applyBorder="1"/>
    <xf numFmtId="0" fontId="12" fillId="0" borderId="0" xfId="0" applyFont="1" applyBorder="1"/>
    <xf numFmtId="1" fontId="12" fillId="0" borderId="0" xfId="2" applyNumberFormat="1" applyFont="1" applyBorder="1"/>
    <xf numFmtId="44" fontId="12" fillId="0" borderId="0" xfId="1" applyNumberFormat="1" applyFont="1" applyBorder="1"/>
    <xf numFmtId="44" fontId="12" fillId="0" borderId="10" xfId="1" applyNumberFormat="1" applyFont="1" applyBorder="1"/>
    <xf numFmtId="9" fontId="12" fillId="0" borderId="0" xfId="2" applyFont="1"/>
    <xf numFmtId="44" fontId="12" fillId="0" borderId="1" xfId="1" applyNumberFormat="1" applyFont="1" applyBorder="1"/>
    <xf numFmtId="44" fontId="12" fillId="0" borderId="12" xfId="1" applyNumberFormat="1" applyFont="1" applyBorder="1"/>
    <xf numFmtId="8" fontId="12" fillId="0" borderId="0" xfId="0" applyNumberFormat="1" applyFont="1"/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2" fontId="12" fillId="0" borderId="0" xfId="0" applyNumberFormat="1" applyFont="1" applyBorder="1"/>
    <xf numFmtId="8" fontId="12" fillId="0" borderId="10" xfId="0" applyNumberFormat="1" applyFont="1" applyBorder="1"/>
    <xf numFmtId="8" fontId="14" fillId="0" borderId="0" xfId="0" applyNumberFormat="1" applyFont="1"/>
    <xf numFmtId="44" fontId="12" fillId="0" borderId="0" xfId="1" applyNumberFormat="1" applyFont="1"/>
    <xf numFmtId="167" fontId="12" fillId="0" borderId="0" xfId="1" applyNumberFormat="1" applyFont="1"/>
    <xf numFmtId="10" fontId="13" fillId="0" borderId="0" xfId="0" applyNumberFormat="1" applyFont="1"/>
    <xf numFmtId="9" fontId="12" fillId="0" borderId="1" xfId="0" applyNumberFormat="1" applyFont="1" applyBorder="1"/>
    <xf numFmtId="2" fontId="12" fillId="0" borderId="1" xfId="0" applyNumberFormat="1" applyFont="1" applyBorder="1"/>
    <xf numFmtId="8" fontId="12" fillId="0" borderId="12" xfId="0" applyNumberFormat="1" applyFont="1" applyBorder="1"/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0" fillId="0" borderId="4" xfId="0" applyBorder="1"/>
    <xf numFmtId="44" fontId="0" fillId="0" borderId="2" xfId="0" applyNumberFormat="1" applyFont="1" applyBorder="1"/>
    <xf numFmtId="44" fontId="5" fillId="2" borderId="2" xfId="0" applyNumberFormat="1" applyFont="1" applyFill="1" applyBorder="1"/>
    <xf numFmtId="164" fontId="0" fillId="0" borderId="6" xfId="1" applyFont="1" applyBorder="1"/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9" fontId="0" fillId="0" borderId="5" xfId="2" applyFont="1" applyBorder="1"/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9" fontId="2" fillId="0" borderId="15" xfId="2" applyFont="1" applyBorder="1"/>
    <xf numFmtId="9" fontId="2" fillId="0" borderId="15" xfId="0" applyNumberFormat="1" applyFont="1" applyBorder="1"/>
    <xf numFmtId="2" fontId="3" fillId="0" borderId="5" xfId="3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2" fillId="0" borderId="10" xfId="0" applyFont="1" applyBorder="1"/>
    <xf numFmtId="0" fontId="12" fillId="0" borderId="12" xfId="0" applyFont="1" applyBorder="1"/>
    <xf numFmtId="0" fontId="13" fillId="0" borderId="2" xfId="0" applyFont="1" applyBorder="1"/>
    <xf numFmtId="2" fontId="13" fillId="0" borderId="3" xfId="0" applyNumberFormat="1" applyFont="1" applyBorder="1"/>
    <xf numFmtId="0" fontId="13" fillId="0" borderId="4" xfId="0" applyFont="1" applyBorder="1"/>
    <xf numFmtId="0" fontId="13" fillId="0" borderId="0" xfId="0" applyFont="1" applyBorder="1" applyAlignment="1">
      <alignment horizontal="center"/>
    </xf>
    <xf numFmtId="1" fontId="12" fillId="0" borderId="10" xfId="0" applyNumberFormat="1" applyFont="1" applyBorder="1"/>
    <xf numFmtId="1" fontId="13" fillId="0" borderId="3" xfId="0" applyNumberFormat="1" applyFont="1" applyBorder="1"/>
    <xf numFmtId="1" fontId="13" fillId="0" borderId="4" xfId="0" applyNumberFormat="1" applyFont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0" xfId="0" applyNumberFormat="1" applyBorder="1"/>
    <xf numFmtId="165" fontId="0" fillId="0" borderId="12" xfId="0" applyNumberFormat="1" applyBorder="1"/>
    <xf numFmtId="0" fontId="13" fillId="0" borderId="0" xfId="0" applyFont="1" applyBorder="1" applyAlignment="1">
      <alignment horizontal="center" vertical="center"/>
    </xf>
    <xf numFmtId="8" fontId="12" fillId="0" borderId="0" xfId="0" applyNumberFormat="1" applyFont="1" applyBorder="1"/>
    <xf numFmtId="0" fontId="12" fillId="0" borderId="7" xfId="0" applyFont="1" applyBorder="1"/>
    <xf numFmtId="9" fontId="12" fillId="0" borderId="5" xfId="0" applyNumberFormat="1" applyFont="1" applyBorder="1"/>
    <xf numFmtId="1" fontId="12" fillId="0" borderId="5" xfId="0" applyNumberFormat="1" applyFont="1" applyBorder="1"/>
    <xf numFmtId="44" fontId="12" fillId="0" borderId="5" xfId="0" applyNumberFormat="1" applyFont="1" applyBorder="1"/>
    <xf numFmtId="164" fontId="12" fillId="0" borderId="5" xfId="1" applyFont="1" applyBorder="1"/>
    <xf numFmtId="164" fontId="12" fillId="0" borderId="8" xfId="1" applyFont="1" applyBorder="1"/>
    <xf numFmtId="44" fontId="12" fillId="0" borderId="8" xfId="1" applyNumberFormat="1" applyFont="1" applyBorder="1"/>
  </cellXfs>
  <cellStyles count="5">
    <cellStyle name="Currency" xfId="1" builtinId="4"/>
    <cellStyle name="Explanatory Text" xfId="3" builtinId="53"/>
    <cellStyle name="Normal" xfId="0" builtinId="0"/>
    <cellStyle name="Percent" xfId="2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Constants!$M$6:$M$12</c:f>
              <c:numCache>
                <c:formatCode>General</c:formatCode>
                <c:ptCount val="7"/>
                <c:pt idx="0">
                  <c:v>90</c:v>
                </c:pt>
                <c:pt idx="1">
                  <c:v>53</c:v>
                </c:pt>
                <c:pt idx="2">
                  <c:v>45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14</c:v>
                </c:pt>
              </c:numCache>
            </c:numRef>
          </c:xVal>
          <c:yVal>
            <c:numRef>
              <c:f>Constants!$N$6:$N$12</c:f>
              <c:numCache>
                <c:formatCode>0.0%</c:formatCode>
                <c:ptCount val="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0.04</c:v>
                </c:pt>
                <c:pt idx="5">
                  <c:v>4.7E-2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B54B-B429-26F143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8687"/>
        <c:axId val="844545663"/>
      </c:scatterChart>
      <c:valAx>
        <c:axId val="860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663"/>
        <c:crosses val="autoZero"/>
        <c:crossBetween val="midCat"/>
      </c:valAx>
      <c:valAx>
        <c:axId val="8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$/kW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Constants!$D$34:$D$39</c:f>
              <c:numCache>
                <c:formatCode>_-"$"* #,##0.00_-;\-"$"* #,##0.00_-;_-"$"* "-"??_-;_-@_-</c:formatCode>
                <c:ptCount val="6"/>
                <c:pt idx="1">
                  <c:v>4</c:v>
                </c:pt>
                <c:pt idx="2">
                  <c:v>3.25</c:v>
                </c:pt>
                <c:pt idx="3">
                  <c:v>2.85</c:v>
                </c:pt>
                <c:pt idx="4">
                  <c:v>2.75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BF46-8BF1-FB5B048501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Constants!$C$34:$C$39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Constants!$E$34:$E$39</c:f>
              <c:numCache>
                <c:formatCode>0.00</c:formatCode>
                <c:ptCount val="6"/>
                <c:pt idx="0">
                  <c:v>5.8</c:v>
                </c:pt>
                <c:pt idx="1">
                  <c:v>4.2</c:v>
                </c:pt>
                <c:pt idx="2">
                  <c:v>3.1333333333333333</c:v>
                </c:pt>
                <c:pt idx="3">
                  <c:v>2.7230769230769232</c:v>
                </c:pt>
                <c:pt idx="4">
                  <c:v>2.5058823529411764</c:v>
                </c:pt>
                <c:pt idx="5">
                  <c:v>2.3714285714285714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5-BF46-8BF1-FB5B0485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73359"/>
        <c:axId val="591366015"/>
      </c:scatterChart>
      <c:valAx>
        <c:axId val="5904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6015"/>
        <c:crosses val="autoZero"/>
        <c:crossBetween val="midCat"/>
      </c:valAx>
      <c:valAx>
        <c:axId val="591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Constants!$L$34:$L$38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Constants!$N$34:$N$38</c:f>
              <c:numCache>
                <c:formatCode>_("$"* #,##0.00_);_("$"* \(#,##0.00\);_("$"* "-"??_);_(@_)</c:formatCode>
                <c:ptCount val="5"/>
                <c:pt idx="0">
                  <c:v>8000</c:v>
                </c:pt>
                <c:pt idx="1">
                  <c:v>13000</c:v>
                </c:pt>
                <c:pt idx="2">
                  <c:v>17100</c:v>
                </c:pt>
                <c:pt idx="3">
                  <c:v>22000</c:v>
                </c:pt>
                <c:pt idx="4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C74D-B3C2-509102A4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19967"/>
        <c:axId val="598955183"/>
      </c:scatterChart>
      <c:valAx>
        <c:axId val="5942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5183"/>
        <c:crosses val="autoZero"/>
        <c:crossBetween val="midCat"/>
      </c:valAx>
      <c:valAx>
        <c:axId val="5989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Weather!$G$8:$G$19</c:f>
              <c:numCache>
                <c:formatCode>0.00</c:formatCode>
                <c:ptCount val="12"/>
                <c:pt idx="0">
                  <c:v>134.62384499999999</c:v>
                </c:pt>
                <c:pt idx="1">
                  <c:v>146.64569599999999</c:v>
                </c:pt>
                <c:pt idx="2">
                  <c:v>179.49845999999999</c:v>
                </c:pt>
                <c:pt idx="3">
                  <c:v>224.37307500000003</c:v>
                </c:pt>
                <c:pt idx="4">
                  <c:v>269.24768999999998</c:v>
                </c:pt>
                <c:pt idx="5">
                  <c:v>302.10045399999996</c:v>
                </c:pt>
                <c:pt idx="6">
                  <c:v>314.12230499999998</c:v>
                </c:pt>
                <c:pt idx="7">
                  <c:v>302.10045399999996</c:v>
                </c:pt>
                <c:pt idx="8">
                  <c:v>269.24768999999998</c:v>
                </c:pt>
                <c:pt idx="9">
                  <c:v>224.37307500000003</c:v>
                </c:pt>
                <c:pt idx="10">
                  <c:v>179.49845999999999</c:v>
                </c:pt>
                <c:pt idx="11">
                  <c:v>146.64569599999999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Consumption!$D$9:$D$20</c:f>
              <c:numCache>
                <c:formatCode>0.00</c:formatCode>
                <c:ptCount val="12"/>
                <c:pt idx="0">
                  <c:v>751.57009042842367</c:v>
                </c:pt>
                <c:pt idx="1">
                  <c:v>726.25333333333333</c:v>
                </c:pt>
                <c:pt idx="2">
                  <c:v>691.67</c:v>
                </c:pt>
                <c:pt idx="3">
                  <c:v>657.08666666666659</c:v>
                </c:pt>
                <c:pt idx="4">
                  <c:v>631.76990957157625</c:v>
                </c:pt>
                <c:pt idx="5">
                  <c:v>622.50333333333333</c:v>
                </c:pt>
                <c:pt idx="6">
                  <c:v>631.76990957157625</c:v>
                </c:pt>
                <c:pt idx="7">
                  <c:v>657.08666666666659</c:v>
                </c:pt>
                <c:pt idx="8">
                  <c:v>691.67</c:v>
                </c:pt>
                <c:pt idx="9">
                  <c:v>726.25333333333333</c:v>
                </c:pt>
                <c:pt idx="10">
                  <c:v>751.57009042842367</c:v>
                </c:pt>
                <c:pt idx="11">
                  <c:v>760.83666666666659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Solar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(A)'!$C$5:$C$16</c:f>
              <c:numCache>
                <c:formatCode>0</c:formatCode>
                <c:ptCount val="12"/>
                <c:pt idx="0">
                  <c:v>13212.508665947309</c:v>
                </c:pt>
                <c:pt idx="1">
                  <c:v>19988.420783894755</c:v>
                </c:pt>
                <c:pt idx="2">
                  <c:v>36330.438042651345</c:v>
                </c:pt>
                <c:pt idx="3">
                  <c:v>62537.326290685734</c:v>
                </c:pt>
                <c:pt idx="4">
                  <c:v>92840.864038482381</c:v>
                </c:pt>
                <c:pt idx="5">
                  <c:v>115697.25483760801</c:v>
                </c:pt>
                <c:pt idx="6">
                  <c:v>120301.3364943896</c:v>
                </c:pt>
                <c:pt idx="7">
                  <c:v>104169.01692184545</c:v>
                </c:pt>
                <c:pt idx="8">
                  <c:v>75044.791548822875</c:v>
                </c:pt>
                <c:pt idx="9">
                  <c:v>45413.047553314187</c:v>
                </c:pt>
                <c:pt idx="10">
                  <c:v>24466.389716211663</c:v>
                </c:pt>
                <c:pt idx="11">
                  <c:v>14392.379962285839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DD45-8873-D695598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67999"/>
        <c:axId val="559245775"/>
      </c:barChart>
      <c:catAx>
        <c:axId val="5562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9245775"/>
        <c:crosses val="autoZero"/>
        <c:auto val="1"/>
        <c:lblAlgn val="ctr"/>
        <c:lblOffset val="100"/>
        <c:noMultiLvlLbl val="0"/>
      </c:catAx>
      <c:valAx>
        <c:axId val="5592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62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(A)'!$J$91:$J$130</c:f>
              <c:numCache>
                <c:formatCode>_("$"* #,##0.00_);_("$"* \(#,##0.00\);_("$"* "-"??_);_(@_)</c:formatCode>
                <c:ptCount val="40"/>
                <c:pt idx="0">
                  <c:v>0.44115814143534426</c:v>
                </c:pt>
                <c:pt idx="1">
                  <c:v>0.92005397800335353</c:v>
                </c:pt>
                <c:pt idx="2">
                  <c:v>1.4392845731043669</c:v>
                </c:pt>
                <c:pt idx="3">
                  <c:v>2.0016110789417412</c:v>
                </c:pt>
                <c:pt idx="4">
                  <c:v>2.6099685956527594</c:v>
                </c:pt>
                <c:pt idx="5">
                  <c:v>3.2674766028003259</c:v>
                </c:pt>
                <c:pt idx="6">
                  <c:v>3.9774499956340303</c:v>
                </c:pt>
                <c:pt idx="7">
                  <c:v>4.7434107603299074</c:v>
                </c:pt>
                <c:pt idx="8">
                  <c:v>5.569100324318069</c:v>
                </c:pt>
                <c:pt idx="9">
                  <c:v>6.458492619810638</c:v>
                </c:pt>
                <c:pt idx="10">
                  <c:v>7.4158079007560431</c:v>
                </c:pt>
                <c:pt idx="11">
                  <c:v>8.4455273556741997</c:v>
                </c:pt>
                <c:pt idx="12">
                  <c:v>9.5524085611777885</c:v>
                </c:pt>
                <c:pt idx="13">
                  <c:v>10.74150182346388</c:v>
                </c:pt>
                <c:pt idx="14">
                  <c:v>12.018167457674199</c:v>
                </c:pt>
                <c:pt idx="15">
                  <c:v>13.38809405777951</c:v>
                </c:pt>
                <c:pt idx="16">
                  <c:v>14.857317812550715</c:v>
                </c:pt>
                <c:pt idx="17">
                  <c:v>16.432242926244918</c:v>
                </c:pt>
                <c:pt idx="18">
                  <c:v>18.119663205867379</c:v>
                </c:pt>
                <c:pt idx="19">
                  <c:v>19.926784880279062</c:v>
                </c:pt>
                <c:pt idx="20">
                  <c:v>21.861250720013594</c:v>
                </c:pt>
                <c:pt idx="21">
                  <c:v>23.931165530456905</c:v>
                </c:pt>
                <c:pt idx="22">
                  <c:v>26.145123095038755</c:v>
                </c:pt>
                <c:pt idx="23">
                  <c:v>28.512234649297746</c:v>
                </c:pt>
                <c:pt idx="24">
                  <c:v>31.042158971123214</c:v>
                </c:pt>
                <c:pt idx="25">
                  <c:v>33.745134177159649</c:v>
                </c:pt>
                <c:pt idx="26">
                  <c:v>36.632011320295994</c:v>
                </c:pt>
                <c:pt idx="27">
                  <c:v>39.714289888366686</c:v>
                </c:pt>
                <c:pt idx="28">
                  <c:v>43.004155309677209</c:v>
                </c:pt>
                <c:pt idx="29">
                  <c:v>46.51451857675081</c:v>
                </c:pt>
                <c:pt idx="30">
                  <c:v>50.259058105789869</c:v>
                </c:pt>
                <c:pt idx="31">
                  <c:v>54.252263955771568</c:v>
                </c:pt>
                <c:pt idx="32">
                  <c:v>58.50948453787268</c:v>
                </c:pt>
                <c:pt idx="33">
                  <c:v>63.046975953058507</c:v>
                </c:pt>
                <c:pt idx="34">
                  <c:v>67.881954103197614</c:v>
                </c:pt>
                <c:pt idx="35">
                  <c:v>73.032649728997896</c:v>
                </c:pt>
                <c:pt idx="36">
                  <c:v>78.51836653642053</c:v>
                </c:pt>
                <c:pt idx="37">
                  <c:v>84.35954258204228</c:v>
                </c:pt>
                <c:pt idx="38">
                  <c:v>90.577815097124414</c:v>
                </c:pt>
                <c:pt idx="39">
                  <c:v>97.196088939936701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D-FF4A-9AF4-C56FA202B9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(A)'!$L$91:$L$130</c:f>
              <c:numCache>
                <c:formatCode>"$"#,##0.00_);[Red]\("$"#,##0.00\)</c:formatCode>
                <c:ptCount val="40"/>
                <c:pt idx="0">
                  <c:v>1000.0411581414354</c:v>
                </c:pt>
                <c:pt idx="1">
                  <c:v>500.47706742053288</c:v>
                </c:pt>
                <c:pt idx="2">
                  <c:v>334.12366781283657</c:v>
                </c:pt>
                <c:pt idx="3">
                  <c:v>251.08132540661947</c:v>
                </c:pt>
                <c:pt idx="4">
                  <c:v>201.3704168821742</c:v>
                </c:pt>
                <c:pt idx="5">
                  <c:v>168.33132977315168</c:v>
                </c:pt>
                <c:pt idx="6">
                  <c:v>144.8244627334816</c:v>
                </c:pt>
                <c:pt idx="7">
                  <c:v>127.2802258099899</c:v>
                </c:pt>
                <c:pt idx="8">
                  <c:v>113.71570738749952</c:v>
                </c:pt>
                <c:pt idx="9">
                  <c:v>102.94134113986868</c:v>
                </c:pt>
                <c:pt idx="10">
                  <c:v>94.200300259819088</c:v>
                </c:pt>
                <c:pt idx="11">
                  <c:v>86.988194725257586</c:v>
                </c:pt>
                <c:pt idx="12">
                  <c:v>80.95598535513578</c:v>
                </c:pt>
                <c:pt idx="13">
                  <c:v>75.854506263373494</c:v>
                </c:pt>
                <c:pt idx="14">
                  <c:v>71.50117846156634</c:v>
                </c:pt>
                <c:pt idx="15">
                  <c:v>67.759205985909617</c:v>
                </c:pt>
                <c:pt idx="16">
                  <c:v>64.524114688342777</c:v>
                </c:pt>
                <c:pt idx="17">
                  <c:v>61.714778214207222</c:v>
                </c:pt>
                <c:pt idx="18">
                  <c:v>59.267277995178439</c:v>
                </c:pt>
                <c:pt idx="19">
                  <c:v>57.130605354793907</c:v>
                </c:pt>
                <c:pt idx="20">
                  <c:v>55.263591691647846</c:v>
                </c:pt>
                <c:pt idx="21">
                  <c:v>53.632675990814342</c:v>
                </c:pt>
                <c:pt idx="22">
                  <c:v>52.210254826968907</c:v>
                </c:pt>
                <c:pt idx="23">
                  <c:v>50.973444968248408</c:v>
                </c:pt>
                <c:pt idx="24">
                  <c:v>49.903143055054962</c:v>
                </c:pt>
                <c:pt idx="25">
                  <c:v>48.98330237446563</c:v>
                </c:pt>
                <c:pt idx="26">
                  <c:v>48.200370448549023</c:v>
                </c:pt>
                <c:pt idx="27">
                  <c:v>47.542847235431587</c:v>
                </c:pt>
                <c:pt idx="28">
                  <c:v>47.000934831987365</c:v>
                </c:pt>
                <c:pt idx="29">
                  <c:v>46.566257330047314</c:v>
                </c:pt>
                <c:pt idx="30">
                  <c:v>46.231634987268194</c:v>
                </c:pt>
                <c:pt idx="31">
                  <c:v>45.990900833570471</c:v>
                </c:pt>
                <c:pt idx="32">
                  <c:v>45.838750713889468</c:v>
                </c:pt>
                <c:pt idx="33">
                  <c:v>45.770619885509873</c:v>
                </c:pt>
                <c:pt idx="34">
                  <c:v>45.782580861275299</c:v>
                </c:pt>
                <c:pt idx="35">
                  <c:v>45.871258369731081</c:v>
                </c:pt>
                <c:pt idx="36">
                  <c:v>46.033758196057164</c:v>
                </c:pt>
                <c:pt idx="37">
                  <c:v>46.267607348994588</c:v>
                </c:pt>
                <c:pt idx="38">
                  <c:v>46.570703523084113</c:v>
                </c:pt>
                <c:pt idx="39">
                  <c:v>46.941272231725222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D-FF4A-9AF4-C56FA202B988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(A)'!$N$91:$N$130</c:f>
              <c:numCache>
                <c:formatCode>"$"#,##0.00_);[Red]\("$"#,##0.00\)</c:formatCode>
                <c:ptCount val="40"/>
                <c:pt idx="0">
                  <c:v>45.770619885509873</c:v>
                </c:pt>
                <c:pt idx="1">
                  <c:v>45.770619885509873</c:v>
                </c:pt>
                <c:pt idx="2">
                  <c:v>45.770619885509873</c:v>
                </c:pt>
                <c:pt idx="3">
                  <c:v>45.770619885509873</c:v>
                </c:pt>
                <c:pt idx="4">
                  <c:v>45.770619885509873</c:v>
                </c:pt>
                <c:pt idx="5">
                  <c:v>45.770619885509873</c:v>
                </c:pt>
                <c:pt idx="6">
                  <c:v>45.770619885509873</c:v>
                </c:pt>
                <c:pt idx="7">
                  <c:v>45.770619885509873</c:v>
                </c:pt>
                <c:pt idx="8">
                  <c:v>45.770619885509873</c:v>
                </c:pt>
                <c:pt idx="9">
                  <c:v>45.770619885509873</c:v>
                </c:pt>
                <c:pt idx="10">
                  <c:v>45.770619885509873</c:v>
                </c:pt>
                <c:pt idx="11">
                  <c:v>45.770619885509873</c:v>
                </c:pt>
                <c:pt idx="12">
                  <c:v>45.770619885509873</c:v>
                </c:pt>
                <c:pt idx="13">
                  <c:v>45.770619885509873</c:v>
                </c:pt>
                <c:pt idx="14">
                  <c:v>45.770619885509873</c:v>
                </c:pt>
                <c:pt idx="15">
                  <c:v>45.770619885509873</c:v>
                </c:pt>
                <c:pt idx="16">
                  <c:v>45.770619885509873</c:v>
                </c:pt>
                <c:pt idx="17">
                  <c:v>45.770619885509873</c:v>
                </c:pt>
                <c:pt idx="18">
                  <c:v>45.770619885509873</c:v>
                </c:pt>
                <c:pt idx="19">
                  <c:v>45.770619885509873</c:v>
                </c:pt>
                <c:pt idx="20">
                  <c:v>45.770619885509873</c:v>
                </c:pt>
                <c:pt idx="21">
                  <c:v>45.770619885509873</c:v>
                </c:pt>
                <c:pt idx="22">
                  <c:v>45.770619885509873</c:v>
                </c:pt>
                <c:pt idx="23">
                  <c:v>45.770619885509873</c:v>
                </c:pt>
                <c:pt idx="24">
                  <c:v>45.770619885509873</c:v>
                </c:pt>
                <c:pt idx="25">
                  <c:v>45.770619885509873</c:v>
                </c:pt>
                <c:pt idx="26">
                  <c:v>45.770619885509873</c:v>
                </c:pt>
                <c:pt idx="27">
                  <c:v>45.770619885509873</c:v>
                </c:pt>
                <c:pt idx="28">
                  <c:v>45.770619885509873</c:v>
                </c:pt>
                <c:pt idx="29">
                  <c:v>45.770619885509873</c:v>
                </c:pt>
                <c:pt idx="30">
                  <c:v>45.770619885509873</c:v>
                </c:pt>
                <c:pt idx="31">
                  <c:v>45.770619885509873</c:v>
                </c:pt>
                <c:pt idx="32">
                  <c:v>45.770619885509873</c:v>
                </c:pt>
                <c:pt idx="33">
                  <c:v>45.770619885509873</c:v>
                </c:pt>
                <c:pt idx="34">
                  <c:v>45.770619885509873</c:v>
                </c:pt>
                <c:pt idx="35">
                  <c:v>45.770619885509873</c:v>
                </c:pt>
                <c:pt idx="36">
                  <c:v>45.770619885509873</c:v>
                </c:pt>
                <c:pt idx="37">
                  <c:v>45.770619885509873</c:v>
                </c:pt>
                <c:pt idx="38">
                  <c:v>45.770619885509873</c:v>
                </c:pt>
                <c:pt idx="39">
                  <c:v>45.770619885509873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D-FF4A-9AF4-C56FA202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01039"/>
        <c:axId val="558639343"/>
      </c:scatterChart>
      <c:valAx>
        <c:axId val="5875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343"/>
        <c:crosses val="autoZero"/>
        <c:crossBetween val="midCat"/>
      </c:valAx>
      <c:valAx>
        <c:axId val="5586393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(B)'!$L$91:$L$130</c:f>
              <c:numCache>
                <c:formatCode>_("$"* #,##0.00_);_("$"* \(#,##0.00\);_("$"* "-"??_);_(@_)</c:formatCode>
                <c:ptCount val="40"/>
                <c:pt idx="0">
                  <c:v>5.5144767679418027</c:v>
                </c:pt>
                <c:pt idx="1">
                  <c:v>11.500674725041918</c:v>
                </c:pt>
                <c:pt idx="2">
                  <c:v>17.991057163804584</c:v>
                </c:pt>
                <c:pt idx="3">
                  <c:v>25.020138486771764</c:v>
                </c:pt>
                <c:pt idx="4">
                  <c:v>32.624607445659485</c:v>
                </c:pt>
                <c:pt idx="5">
                  <c:v>40.84345753500407</c:v>
                </c:pt>
                <c:pt idx="6">
                  <c:v>49.718124945425373</c:v>
                </c:pt>
                <c:pt idx="7">
                  <c:v>59.292634504123832</c:v>
                </c:pt>
                <c:pt idx="8">
                  <c:v>69.613754053975853</c:v>
                </c:pt>
                <c:pt idx="9">
                  <c:v>80.731157747632963</c:v>
                </c:pt>
                <c:pt idx="10">
                  <c:v>92.697598759450514</c:v>
                </c:pt>
                <c:pt idx="11">
                  <c:v>105.56909194592748</c:v>
                </c:pt>
                <c:pt idx="12">
                  <c:v>119.40510701472236</c:v>
                </c:pt>
                <c:pt idx="13">
                  <c:v>134.26877279329847</c:v>
                </c:pt>
                <c:pt idx="14">
                  <c:v>150.22709322092746</c:v>
                </c:pt>
                <c:pt idx="15">
                  <c:v>167.35117572224385</c:v>
                </c:pt>
                <c:pt idx="16">
                  <c:v>185.71647265688392</c:v>
                </c:pt>
                <c:pt idx="17">
                  <c:v>205.40303657806143</c:v>
                </c:pt>
                <c:pt idx="18">
                  <c:v>226.49579007334222</c:v>
                </c:pt>
                <c:pt idx="19">
                  <c:v>249.0848110034882</c:v>
                </c:pt>
                <c:pt idx="20">
                  <c:v>273.26563400016988</c:v>
                </c:pt>
                <c:pt idx="21">
                  <c:v>299.13956913071127</c:v>
                </c:pt>
                <c:pt idx="22">
                  <c:v>326.81403868798441</c:v>
                </c:pt>
                <c:pt idx="23">
                  <c:v>356.40293311622179</c:v>
                </c:pt>
                <c:pt idx="24">
                  <c:v>388.02698713904016</c:v>
                </c:pt>
                <c:pt idx="25">
                  <c:v>421.81417721449554</c:v>
                </c:pt>
                <c:pt idx="26">
                  <c:v>457.9001415036999</c:v>
                </c:pt>
                <c:pt idx="27">
                  <c:v>496.42862360458355</c:v>
                </c:pt>
                <c:pt idx="28">
                  <c:v>537.5519413709651</c:v>
                </c:pt>
                <c:pt idx="29">
                  <c:v>581.43148220938508</c:v>
                </c:pt>
                <c:pt idx="30">
                  <c:v>628.23822632237329</c:v>
                </c:pt>
                <c:pt idx="31">
                  <c:v>678.15329944714438</c:v>
                </c:pt>
                <c:pt idx="32">
                  <c:v>731.36855672340835</c:v>
                </c:pt>
                <c:pt idx="33">
                  <c:v>788.08719941323113</c:v>
                </c:pt>
                <c:pt idx="34">
                  <c:v>848.52442628997017</c:v>
                </c:pt>
                <c:pt idx="35">
                  <c:v>912.90812161247356</c:v>
                </c:pt>
                <c:pt idx="36">
                  <c:v>981.47958170525646</c:v>
                </c:pt>
                <c:pt idx="37">
                  <c:v>1054.4942822755283</c:v>
                </c:pt>
                <c:pt idx="38">
                  <c:v>1132.222688714055</c:v>
                </c:pt>
                <c:pt idx="39">
                  <c:v>1214.9511117492084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D-8E43-BAD4-E576B12E8C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(B)'!$N$91:$N$130</c:f>
              <c:numCache>
                <c:formatCode>"$"#,##0.00_);[Red]\("$"#,##0.00\)</c:formatCode>
                <c:ptCount val="40"/>
                <c:pt idx="0">
                  <c:v>14919.158856182776</c:v>
                </c:pt>
                <c:pt idx="1">
                  <c:v>7505.6992248908628</c:v>
                </c:pt>
                <c:pt idx="2">
                  <c:v>5047.0880619658801</c:v>
                </c:pt>
                <c:pt idx="3">
                  <c:v>3825.9668064776042</c:v>
                </c:pt>
                <c:pt idx="4">
                  <c:v>3098.9663454604756</c:v>
                </c:pt>
                <c:pt idx="5">
                  <c:v>2618.3744462280342</c:v>
                </c:pt>
                <c:pt idx="6">
                  <c:v>2278.0888485963205</c:v>
                </c:pt>
                <c:pt idx="7">
                  <c:v>2025.1060208100698</c:v>
                </c:pt>
                <c:pt idx="8">
                  <c:v>1830.017804927046</c:v>
                </c:pt>
                <c:pt idx="9">
                  <c:v>1675.2103993950909</c:v>
                </c:pt>
                <c:pt idx="10">
                  <c:v>1549.5005303703213</c:v>
                </c:pt>
                <c:pt idx="11">
                  <c:v>1445.4537641238985</c:v>
                </c:pt>
                <c:pt idx="12">
                  <c:v>1357.9407129987981</c:v>
                </c:pt>
                <c:pt idx="13">
                  <c:v>1283.3121730199184</c:v>
                </c:pt>
                <c:pt idx="14">
                  <c:v>1218.9043454200632</c:v>
                </c:pt>
                <c:pt idx="15">
                  <c:v>1162.7297192045271</c:v>
                </c:pt>
                <c:pt idx="16">
                  <c:v>1113.2771564436325</c:v>
                </c:pt>
                <c:pt idx="17">
                  <c:v>1069.3787042018309</c:v>
                </c:pt>
                <c:pt idx="18">
                  <c:v>1030.1185423344984</c:v>
                </c:pt>
                <c:pt idx="19">
                  <c:v>994.76931326178465</c:v>
                </c:pt>
                <c:pt idx="20">
                  <c:v>962.74670085894149</c:v>
                </c:pt>
                <c:pt idx="21">
                  <c:v>933.57644708225666</c:v>
                </c:pt>
                <c:pt idx="22">
                  <c:v>906.87001668636935</c:v>
                </c:pt>
                <c:pt idx="23">
                  <c:v>882.30638394444759</c:v>
                </c:pt>
                <c:pt idx="24">
                  <c:v>859.61822393204579</c:v>
                </c:pt>
                <c:pt idx="25">
                  <c:v>838.58131964440031</c:v>
                </c:pt>
                <c:pt idx="26">
                  <c:v>819.00634866882274</c:v>
                </c:pt>
                <c:pt idx="27">
                  <c:v>800.73245227924258</c:v>
                </c:pt>
                <c:pt idx="28">
                  <c:v>783.62215473140418</c:v>
                </c:pt>
                <c:pt idx="29">
                  <c:v>767.5573159606538</c:v>
                </c:pt>
                <c:pt idx="30">
                  <c:v>752.43588278463642</c:v>
                </c:pt>
                <c:pt idx="31">
                  <c:v>738.16926256750639</c:v>
                </c:pt>
                <c:pt idx="32">
                  <c:v>724.68018609500257</c:v>
                </c:pt>
                <c:pt idx="33">
                  <c:v>711.9009578657201</c:v>
                </c:pt>
                <c:pt idx="34">
                  <c:v>699.77201536293092</c:v>
                </c:pt>
                <c:pt idx="35">
                  <c:v>688.24073638314348</c:v>
                </c:pt>
                <c:pt idx="36">
                  <c:v>677.26044674315847</c:v>
                </c:pt>
                <c:pt idx="37">
                  <c:v>666.78959078989624</c:v>
                </c:pt>
                <c:pt idx="38">
                  <c:v>656.79103490309774</c:v>
                </c:pt>
                <c:pt idx="39">
                  <c:v>647.23148019475161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D-8E43-BAD4-E576B12E8C82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(B)'!$O$91:$O$130</c:f>
              <c:numCache>
                <c:formatCode>"$"#,##0.00_);[Red]\("$"#,##0.00\)</c:formatCode>
                <c:ptCount val="40"/>
                <c:pt idx="0">
                  <c:v>647.23148019475161</c:v>
                </c:pt>
                <c:pt idx="1">
                  <c:v>647.23148019475161</c:v>
                </c:pt>
                <c:pt idx="2">
                  <c:v>647.23148019475161</c:v>
                </c:pt>
                <c:pt idx="3">
                  <c:v>647.23148019475161</c:v>
                </c:pt>
                <c:pt idx="4">
                  <c:v>647.23148019475161</c:v>
                </c:pt>
                <c:pt idx="5">
                  <c:v>647.23148019475161</c:v>
                </c:pt>
                <c:pt idx="6">
                  <c:v>647.23148019475161</c:v>
                </c:pt>
                <c:pt idx="7">
                  <c:v>647.23148019475161</c:v>
                </c:pt>
                <c:pt idx="8">
                  <c:v>647.23148019475161</c:v>
                </c:pt>
                <c:pt idx="9">
                  <c:v>647.23148019475161</c:v>
                </c:pt>
                <c:pt idx="10">
                  <c:v>647.23148019475161</c:v>
                </c:pt>
                <c:pt idx="11">
                  <c:v>647.23148019475161</c:v>
                </c:pt>
                <c:pt idx="12">
                  <c:v>647.23148019475161</c:v>
                </c:pt>
                <c:pt idx="13">
                  <c:v>647.23148019475161</c:v>
                </c:pt>
                <c:pt idx="14">
                  <c:v>647.23148019475161</c:v>
                </c:pt>
                <c:pt idx="15">
                  <c:v>647.23148019475161</c:v>
                </c:pt>
                <c:pt idx="16">
                  <c:v>647.23148019475161</c:v>
                </c:pt>
                <c:pt idx="17">
                  <c:v>647.23148019475161</c:v>
                </c:pt>
                <c:pt idx="18">
                  <c:v>647.23148019475161</c:v>
                </c:pt>
                <c:pt idx="19">
                  <c:v>647.23148019475161</c:v>
                </c:pt>
                <c:pt idx="20">
                  <c:v>647.23148019475161</c:v>
                </c:pt>
                <c:pt idx="21">
                  <c:v>647.23148019475161</c:v>
                </c:pt>
                <c:pt idx="22">
                  <c:v>647.23148019475161</c:v>
                </c:pt>
                <c:pt idx="23">
                  <c:v>647.23148019475161</c:v>
                </c:pt>
                <c:pt idx="24">
                  <c:v>647.23148019475161</c:v>
                </c:pt>
                <c:pt idx="25">
                  <c:v>647.23148019475161</c:v>
                </c:pt>
                <c:pt idx="26">
                  <c:v>647.23148019475161</c:v>
                </c:pt>
                <c:pt idx="27">
                  <c:v>647.23148019475161</c:v>
                </c:pt>
                <c:pt idx="28">
                  <c:v>647.23148019475161</c:v>
                </c:pt>
                <c:pt idx="29">
                  <c:v>647.23148019475161</c:v>
                </c:pt>
                <c:pt idx="30">
                  <c:v>647.23148019475161</c:v>
                </c:pt>
                <c:pt idx="31">
                  <c:v>647.23148019475161</c:v>
                </c:pt>
                <c:pt idx="32">
                  <c:v>647.23148019475161</c:v>
                </c:pt>
                <c:pt idx="33">
                  <c:v>647.23148019475161</c:v>
                </c:pt>
                <c:pt idx="34">
                  <c:v>647.23148019475161</c:v>
                </c:pt>
                <c:pt idx="35">
                  <c:v>647.23148019475161</c:v>
                </c:pt>
                <c:pt idx="36">
                  <c:v>647.23148019475161</c:v>
                </c:pt>
                <c:pt idx="37">
                  <c:v>647.23148019475161</c:v>
                </c:pt>
                <c:pt idx="38">
                  <c:v>647.23148019475161</c:v>
                </c:pt>
                <c:pt idx="39">
                  <c:v>647.23148019475161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FD-8E43-BAD4-E576B12E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72319"/>
        <c:axId val="560126847"/>
      </c:scatterChart>
      <c:valAx>
        <c:axId val="595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60126847"/>
        <c:crosses val="autoZero"/>
        <c:crossBetween val="midCat"/>
      </c:valAx>
      <c:valAx>
        <c:axId val="560126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54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491519</xdr:colOff>
      <xdr:row>9</xdr:row>
      <xdr:rowOff>97142</xdr:rowOff>
    </xdr:from>
    <xdr:to>
      <xdr:col>26</xdr:col>
      <xdr:colOff>381000</xdr:colOff>
      <xdr:row>23</xdr:row>
      <xdr:rowOff>125838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A1DA0-E5B1-C04E-A62F-A6D320C7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181289</xdr:colOff>
      <xdr:row>39</xdr:row>
      <xdr:rowOff>38973</xdr:rowOff>
    </xdr:from>
    <xdr:to>
      <xdr:col>8</xdr:col>
      <xdr:colOff>322831</xdr:colOff>
      <xdr:row>53</xdr:row>
      <xdr:rowOff>67669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0FAD-2816-3743-9EA2-EA7FDF37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118274</xdr:colOff>
      <xdr:row>38</xdr:row>
      <xdr:rowOff>145614</xdr:rowOff>
    </xdr:from>
    <xdr:to>
      <xdr:col>17</xdr:col>
      <xdr:colOff>230732</xdr:colOff>
      <xdr:row>52</xdr:row>
      <xdr:rowOff>174310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D0180-A298-AC41-9B54-3E8C18C6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30507</xdr:colOff>
      <xdr:row>27</xdr:row>
      <xdr:rowOff>161925</xdr:rowOff>
    </xdr:from>
    <xdr:to>
      <xdr:col>8</xdr:col>
      <xdr:colOff>335307</xdr:colOff>
      <xdr:row>42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133350</xdr:rowOff>
    </xdr:from>
    <xdr:to>
      <xdr:col>7</xdr:col>
      <xdr:colOff>361950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205802</xdr:colOff>
      <xdr:row>7</xdr:row>
      <xdr:rowOff>139700</xdr:rowOff>
    </xdr:from>
    <xdr:to>
      <xdr:col>28</xdr:col>
      <xdr:colOff>6274</xdr:colOff>
      <xdr:row>11</xdr:row>
      <xdr:rowOff>102213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A9FD0-1C97-A740-963A-D50AEF74164F}"/>
            </a:ext>
          </a:extLst>
        </xdr:cNvPr>
        <xdr:cNvSpPr/>
      </xdr:nvSpPr>
      <xdr:spPr>
        <a:xfrm>
          <a:off x="18633502" y="1473200"/>
          <a:ext cx="2327772" cy="7245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Treating the money saved (compared to doing</a:t>
          </a:r>
          <a:r>
            <a:rPr lang="en-U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nothing) as income (relative benefit)</a:t>
          </a:r>
          <a:endParaRPr lang="en-U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0</xdr:col>
      <xdr:colOff>663363</xdr:colOff>
      <xdr:row>17</xdr:row>
      <xdr:rowOff>145203</xdr:rowOff>
    </xdr:from>
    <xdr:to>
      <xdr:col>4</xdr:col>
      <xdr:colOff>518583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6C6F7-FB2A-AC4D-A159-7FB2989D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88</xdr:row>
      <xdr:rowOff>88900</xdr:rowOff>
    </xdr:from>
    <xdr:to>
      <xdr:col>23</xdr:col>
      <xdr:colOff>647700</xdr:colOff>
      <xdr:row>117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E9533-DE66-6140-AB70-05B099A7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10584</xdr:colOff>
      <xdr:row>85</xdr:row>
      <xdr:rowOff>31750</xdr:rowOff>
    </xdr:from>
    <xdr:to>
      <xdr:col>21</xdr:col>
      <xdr:colOff>709084</xdr:colOff>
      <xdr:row>107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DEFB2-4C93-D84F-B37B-917D32E3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sheetPr>
    <tabColor rgb="FF0070C0"/>
  </sheetPr>
  <dimension ref="C2:V63"/>
  <sheetViews>
    <sheetView zoomScale="131" workbookViewId="0">
      <selection activeCell="K20" sqref="K20"/>
    </sheetView>
  </sheetViews>
  <sheetFormatPr baseColWidth="10" defaultColWidth="8.83203125" defaultRowHeight="15"/>
  <cols>
    <col min="2" max="2" width="7.6640625" bestFit="1" customWidth="1"/>
    <col min="3" max="3" width="22.83203125" bestFit="1" customWidth="1"/>
    <col min="4" max="4" width="8.6640625" bestFit="1" customWidth="1"/>
    <col min="5" max="5" width="12" bestFit="1" customWidth="1"/>
    <col min="6" max="6" width="6.1640625" bestFit="1" customWidth="1"/>
    <col min="7" max="7" width="6.33203125" bestFit="1" customWidth="1"/>
    <col min="8" max="8" width="4" bestFit="1" customWidth="1"/>
    <col min="9" max="9" width="10.5" bestFit="1" customWidth="1"/>
    <col min="10" max="10" width="3" bestFit="1" customWidth="1"/>
    <col min="11" max="11" width="4.5" bestFit="1" customWidth="1"/>
    <col min="14" max="14" width="10.1640625" bestFit="1" customWidth="1"/>
    <col min="15" max="15" width="7.33203125" bestFit="1" customWidth="1"/>
    <col min="16" max="16" width="11.1640625" bestFit="1" customWidth="1"/>
    <col min="17" max="17" width="13.6640625" bestFit="1" customWidth="1"/>
    <col min="19" max="19" width="11.83203125" bestFit="1" customWidth="1"/>
  </cols>
  <sheetData>
    <row r="2" spans="3:16">
      <c r="C2" s="1" t="s">
        <v>2</v>
      </c>
    </row>
    <row r="3" spans="3:16">
      <c r="C3" s="1" t="s">
        <v>0</v>
      </c>
      <c r="D3">
        <v>22.7</v>
      </c>
      <c r="E3" t="s">
        <v>1</v>
      </c>
    </row>
    <row r="4" spans="3:16">
      <c r="C4" s="1" t="s">
        <v>27</v>
      </c>
      <c r="D4">
        <v>10</v>
      </c>
      <c r="E4" t="s">
        <v>28</v>
      </c>
      <c r="M4" s="55" t="s">
        <v>10</v>
      </c>
      <c r="N4" s="37"/>
    </row>
    <row r="5" spans="3:16">
      <c r="C5" s="1" t="s">
        <v>121</v>
      </c>
      <c r="D5">
        <v>35</v>
      </c>
      <c r="E5" t="s">
        <v>52</v>
      </c>
      <c r="M5" s="24" t="s">
        <v>11</v>
      </c>
      <c r="N5" s="47" t="s">
        <v>12</v>
      </c>
    </row>
    <row r="6" spans="3:16">
      <c r="M6" s="24">
        <v>90</v>
      </c>
      <c r="N6" s="204">
        <v>0</v>
      </c>
    </row>
    <row r="7" spans="3:16">
      <c r="C7" t="s">
        <v>21</v>
      </c>
      <c r="M7" s="24">
        <v>53</v>
      </c>
      <c r="N7" s="204">
        <v>8.0000000000000002E-3</v>
      </c>
    </row>
    <row r="8" spans="3:16">
      <c r="M8" s="24">
        <v>45</v>
      </c>
      <c r="N8" s="204">
        <v>1.7000000000000001E-2</v>
      </c>
    </row>
    <row r="9" spans="3:16">
      <c r="C9" t="s">
        <v>42</v>
      </c>
      <c r="D9">
        <v>12</v>
      </c>
      <c r="E9" t="s">
        <v>43</v>
      </c>
      <c r="M9" s="24">
        <v>35</v>
      </c>
      <c r="N9" s="204">
        <v>0.03</v>
      </c>
    </row>
    <row r="10" spans="3:16">
      <c r="M10" s="24">
        <v>27</v>
      </c>
      <c r="N10" s="204">
        <v>0.04</v>
      </c>
    </row>
    <row r="11" spans="3:16">
      <c r="C11" t="s">
        <v>154</v>
      </c>
      <c r="D11" s="5">
        <v>5.0000000000000001E-3</v>
      </c>
      <c r="E11" t="s">
        <v>89</v>
      </c>
      <c r="M11" s="24">
        <v>18</v>
      </c>
      <c r="N11" s="204">
        <v>4.7E-2</v>
      </c>
    </row>
    <row r="12" spans="3:16">
      <c r="C12" t="s">
        <v>155</v>
      </c>
      <c r="D12" s="5">
        <v>5.0000000000000001E-4</v>
      </c>
      <c r="E12" t="s">
        <v>89</v>
      </c>
      <c r="F12" t="s">
        <v>44</v>
      </c>
      <c r="M12" s="51">
        <v>14</v>
      </c>
      <c r="N12" s="205">
        <v>4.4999999999999998E-2</v>
      </c>
    </row>
    <row r="13" spans="3:16">
      <c r="D13">
        <v>400</v>
      </c>
      <c r="E13" t="s">
        <v>156</v>
      </c>
    </row>
    <row r="14" spans="3:16">
      <c r="M14" t="s">
        <v>13</v>
      </c>
    </row>
    <row r="15" spans="3:16">
      <c r="M15" t="s">
        <v>14</v>
      </c>
      <c r="N15" t="s">
        <v>12</v>
      </c>
    </row>
    <row r="16" spans="3:16">
      <c r="M16" t="s">
        <v>15</v>
      </c>
      <c r="N16" s="3">
        <v>0.02</v>
      </c>
      <c r="P16" t="s">
        <v>18</v>
      </c>
    </row>
    <row r="17" spans="3:22">
      <c r="M17" t="s">
        <v>16</v>
      </c>
      <c r="N17" s="3">
        <v>0.05</v>
      </c>
      <c r="P17" t="s">
        <v>19</v>
      </c>
    </row>
    <row r="18" spans="3:22">
      <c r="M18" t="s">
        <v>17</v>
      </c>
      <c r="N18" s="3">
        <v>0.1</v>
      </c>
    </row>
    <row r="19" spans="3:22">
      <c r="C19" t="s">
        <v>224</v>
      </c>
      <c r="D19" s="3">
        <v>0.03</v>
      </c>
      <c r="E19" t="s">
        <v>225</v>
      </c>
      <c r="M19" t="s">
        <v>20</v>
      </c>
      <c r="N19" s="2">
        <v>10</v>
      </c>
      <c r="O19" t="s">
        <v>9</v>
      </c>
    </row>
    <row r="20" spans="3:22">
      <c r="C20" t="s">
        <v>63</v>
      </c>
      <c r="D20" s="4">
        <v>0.02</v>
      </c>
    </row>
    <row r="21" spans="3:22">
      <c r="C21" t="s">
        <v>189</v>
      </c>
      <c r="D21" s="4">
        <v>0.03</v>
      </c>
    </row>
    <row r="22" spans="3:22">
      <c r="D22" t="s">
        <v>57</v>
      </c>
      <c r="M22" s="55" t="s">
        <v>73</v>
      </c>
      <c r="N22" s="37"/>
      <c r="S22" s="2">
        <v>10000</v>
      </c>
      <c r="T22" t="s">
        <v>79</v>
      </c>
      <c r="U22" s="9">
        <f>(S23-S22)/2</f>
        <v>3000</v>
      </c>
      <c r="V22" t="s">
        <v>81</v>
      </c>
    </row>
    <row r="23" spans="3:22">
      <c r="C23" t="s">
        <v>135</v>
      </c>
      <c r="D23" s="3">
        <v>0.1</v>
      </c>
      <c r="E23" t="s">
        <v>137</v>
      </c>
      <c r="F23" t="s">
        <v>138</v>
      </c>
      <c r="M23" s="24" t="s">
        <v>26</v>
      </c>
      <c r="N23" s="47"/>
      <c r="S23" s="2">
        <v>16000</v>
      </c>
      <c r="T23" t="s">
        <v>80</v>
      </c>
    </row>
    <row r="24" spans="3:22">
      <c r="C24" t="s">
        <v>136</v>
      </c>
      <c r="D24" s="3">
        <v>0.05</v>
      </c>
      <c r="M24" s="24" t="s">
        <v>74</v>
      </c>
      <c r="N24" s="30">
        <v>0.35</v>
      </c>
      <c r="S24" s="2">
        <v>46000</v>
      </c>
      <c r="T24" t="s">
        <v>82</v>
      </c>
    </row>
    <row r="25" spans="3:22">
      <c r="M25" s="24" t="s">
        <v>75</v>
      </c>
      <c r="N25" s="30">
        <v>0.2</v>
      </c>
    </row>
    <row r="26" spans="3:22">
      <c r="C26" t="s">
        <v>140</v>
      </c>
      <c r="D26" s="9">
        <v>24</v>
      </c>
      <c r="E26" t="s">
        <v>141</v>
      </c>
      <c r="F26" t="s">
        <v>142</v>
      </c>
      <c r="M26" s="24" t="s">
        <v>76</v>
      </c>
      <c r="N26" s="30">
        <v>0.23</v>
      </c>
    </row>
    <row r="27" spans="3:22">
      <c r="F27" t="s">
        <v>143</v>
      </c>
      <c r="M27" s="24" t="s">
        <v>77</v>
      </c>
      <c r="N27" s="30">
        <v>0.04</v>
      </c>
      <c r="O27" s="3"/>
    </row>
    <row r="28" spans="3:22">
      <c r="M28" s="24" t="s">
        <v>78</v>
      </c>
      <c r="N28" s="30">
        <v>0.02</v>
      </c>
    </row>
    <row r="29" spans="3:22">
      <c r="M29" s="51" t="s">
        <v>220</v>
      </c>
      <c r="N29" s="31">
        <v>0.16</v>
      </c>
    </row>
    <row r="30" spans="3:22" ht="16" thickBot="1"/>
    <row r="31" spans="3:22">
      <c r="C31" s="89" t="s">
        <v>204</v>
      </c>
      <c r="D31" s="90" t="s">
        <v>205</v>
      </c>
      <c r="E31" s="90" t="s">
        <v>244</v>
      </c>
      <c r="F31" s="90"/>
      <c r="G31" s="90"/>
      <c r="H31" s="90"/>
      <c r="I31" s="91"/>
      <c r="L31" s="89" t="s">
        <v>209</v>
      </c>
      <c r="M31" s="90"/>
      <c r="N31" s="90"/>
      <c r="O31" s="90"/>
      <c r="P31" s="90"/>
      <c r="Q31" s="90"/>
      <c r="R31" s="91"/>
    </row>
    <row r="32" spans="3:22">
      <c r="C32" s="92" t="s">
        <v>206</v>
      </c>
      <c r="D32" s="85" t="s">
        <v>6</v>
      </c>
      <c r="E32" s="85" t="s">
        <v>208</v>
      </c>
      <c r="F32" s="57"/>
      <c r="G32" s="57"/>
      <c r="H32" s="57"/>
      <c r="I32" s="93"/>
      <c r="L32" s="92" t="s">
        <v>206</v>
      </c>
      <c r="M32" s="85" t="s">
        <v>6</v>
      </c>
      <c r="N32" s="57" t="s">
        <v>6</v>
      </c>
      <c r="O32" s="57"/>
      <c r="P32" s="57" t="s">
        <v>210</v>
      </c>
      <c r="Q32" s="57">
        <v>6</v>
      </c>
      <c r="R32" s="93" t="s">
        <v>211</v>
      </c>
    </row>
    <row r="33" spans="3:18">
      <c r="C33" s="92" t="s">
        <v>117</v>
      </c>
      <c r="D33" s="85" t="s">
        <v>207</v>
      </c>
      <c r="E33" s="85" t="s">
        <v>207</v>
      </c>
      <c r="F33" s="57"/>
      <c r="G33" s="57"/>
      <c r="H33" s="57"/>
      <c r="I33" s="93"/>
      <c r="L33" s="92" t="s">
        <v>117</v>
      </c>
      <c r="M33" s="85" t="s">
        <v>207</v>
      </c>
      <c r="N33" s="57" t="s">
        <v>59</v>
      </c>
      <c r="O33" s="57"/>
      <c r="P33" s="98" t="s">
        <v>214</v>
      </c>
      <c r="Q33" s="25">
        <f>4120</f>
        <v>4120</v>
      </c>
      <c r="R33" s="93"/>
    </row>
    <row r="34" spans="3:18">
      <c r="C34" s="94">
        <v>1</v>
      </c>
      <c r="D34" s="57"/>
      <c r="E34" s="49">
        <f>1.5/(C34+0.5)*4+1.8</f>
        <v>5.8</v>
      </c>
      <c r="F34" s="57"/>
      <c r="G34" s="57"/>
      <c r="H34" s="57"/>
      <c r="I34" s="93"/>
      <c r="L34" s="94">
        <v>2</v>
      </c>
      <c r="M34" s="25">
        <v>4</v>
      </c>
      <c r="N34" s="87">
        <f>M34*L34*1000</f>
        <v>8000</v>
      </c>
      <c r="O34" s="57"/>
      <c r="P34" s="98" t="s">
        <v>213</v>
      </c>
      <c r="Q34" s="25">
        <v>2150</v>
      </c>
      <c r="R34" s="93" t="s">
        <v>215</v>
      </c>
    </row>
    <row r="35" spans="3:18">
      <c r="C35" s="94">
        <v>2</v>
      </c>
      <c r="D35" s="25">
        <v>4</v>
      </c>
      <c r="E35" s="49">
        <f t="shared" ref="E35:E39" si="0">1.5/(C35+0.5)*4+1.8</f>
        <v>4.2</v>
      </c>
      <c r="F35" s="57"/>
      <c r="G35" s="57"/>
      <c r="H35" s="57"/>
      <c r="I35" s="93"/>
      <c r="L35" s="94">
        <v>4</v>
      </c>
      <c r="M35" s="25">
        <v>3.25</v>
      </c>
      <c r="N35" s="87">
        <f>M35*L35*1000</f>
        <v>13000</v>
      </c>
      <c r="O35" s="57"/>
      <c r="P35" s="98"/>
      <c r="Q35" s="87">
        <f>Q34*Q32</f>
        <v>12900</v>
      </c>
      <c r="R35" s="93"/>
    </row>
    <row r="36" spans="3:18">
      <c r="C36" s="94">
        <v>4</v>
      </c>
      <c r="D36" s="25">
        <v>3.25</v>
      </c>
      <c r="E36" s="49">
        <f t="shared" si="0"/>
        <v>3.1333333333333333</v>
      </c>
      <c r="F36" s="57"/>
      <c r="G36" s="57"/>
      <c r="H36" s="57"/>
      <c r="I36" s="93"/>
      <c r="L36" s="94">
        <v>6</v>
      </c>
      <c r="M36" s="25">
        <v>2.85</v>
      </c>
      <c r="N36" s="87">
        <f>M36*L36*1000</f>
        <v>17100</v>
      </c>
      <c r="O36" s="57"/>
      <c r="P36" s="98" t="s">
        <v>87</v>
      </c>
      <c r="Q36" s="87">
        <f>Q35+Q33</f>
        <v>17020</v>
      </c>
      <c r="R36" s="93"/>
    </row>
    <row r="37" spans="3:18">
      <c r="C37" s="94">
        <v>6</v>
      </c>
      <c r="D37" s="25">
        <v>2.85</v>
      </c>
      <c r="E37" s="49">
        <f t="shared" si="0"/>
        <v>2.7230769230769232</v>
      </c>
      <c r="F37" s="57"/>
      <c r="G37" s="57"/>
      <c r="H37" s="57"/>
      <c r="I37" s="93"/>
      <c r="L37" s="94">
        <v>8</v>
      </c>
      <c r="M37" s="25">
        <v>2.75</v>
      </c>
      <c r="N37" s="87">
        <f>M37*L37*1000</f>
        <v>22000</v>
      </c>
      <c r="O37" s="57"/>
      <c r="P37" s="88"/>
      <c r="Q37" s="57"/>
      <c r="R37" s="93"/>
    </row>
    <row r="38" spans="3:18">
      <c r="C38" s="94">
        <v>8</v>
      </c>
      <c r="D38" s="25">
        <v>2.75</v>
      </c>
      <c r="E38" s="49">
        <f t="shared" si="0"/>
        <v>2.5058823529411764</v>
      </c>
      <c r="F38" s="57"/>
      <c r="G38" s="57"/>
      <c r="H38" s="57"/>
      <c r="I38" s="93"/>
      <c r="L38" s="94">
        <v>10</v>
      </c>
      <c r="M38" s="25">
        <v>2.5</v>
      </c>
      <c r="N38" s="87">
        <f>M38*L38*1000</f>
        <v>25000</v>
      </c>
      <c r="O38" s="57"/>
      <c r="P38" s="57"/>
      <c r="Q38" s="57"/>
      <c r="R38" s="93"/>
    </row>
    <row r="39" spans="3:18">
      <c r="C39" s="94">
        <v>10</v>
      </c>
      <c r="D39" s="25">
        <v>2.5</v>
      </c>
      <c r="E39" s="49">
        <f t="shared" si="0"/>
        <v>2.3714285714285714</v>
      </c>
      <c r="F39" s="57"/>
      <c r="G39" s="57"/>
      <c r="H39" s="57"/>
      <c r="I39" s="93"/>
      <c r="L39" s="94"/>
      <c r="M39" s="57"/>
      <c r="N39" s="57"/>
      <c r="O39" s="57"/>
      <c r="P39" s="57"/>
      <c r="Q39" s="57"/>
      <c r="R39" s="93"/>
    </row>
    <row r="40" spans="3:18">
      <c r="C40" s="94"/>
      <c r="D40" s="57"/>
      <c r="E40" s="49"/>
      <c r="F40" s="57"/>
      <c r="G40" s="57"/>
      <c r="H40" s="57"/>
      <c r="I40" s="93"/>
      <c r="L40" s="94"/>
      <c r="M40" s="57"/>
      <c r="N40" s="57"/>
      <c r="O40" s="57"/>
      <c r="P40" s="57"/>
      <c r="Q40" s="57"/>
      <c r="R40" s="93"/>
    </row>
    <row r="41" spans="3:18">
      <c r="C41" s="94"/>
      <c r="D41" s="57"/>
      <c r="E41" s="57"/>
      <c r="F41" s="57"/>
      <c r="G41" s="57"/>
      <c r="H41" s="57"/>
      <c r="I41" s="93"/>
      <c r="L41" s="94"/>
      <c r="M41" s="57"/>
      <c r="N41" s="57"/>
      <c r="O41" s="57"/>
      <c r="P41" s="57"/>
      <c r="Q41" s="57"/>
      <c r="R41" s="93"/>
    </row>
    <row r="42" spans="3:18">
      <c r="C42" s="94"/>
      <c r="D42" s="57"/>
      <c r="E42" s="57"/>
      <c r="F42" s="57"/>
      <c r="G42" s="57"/>
      <c r="H42" s="57"/>
      <c r="I42" s="93"/>
      <c r="L42" s="94"/>
      <c r="M42" s="57"/>
      <c r="N42" s="57"/>
      <c r="O42" s="57"/>
      <c r="P42" s="57"/>
      <c r="Q42" s="57"/>
      <c r="R42" s="93"/>
    </row>
    <row r="43" spans="3:18">
      <c r="C43" s="94"/>
      <c r="D43" s="57"/>
      <c r="E43" s="57"/>
      <c r="F43" s="57"/>
      <c r="G43" s="57"/>
      <c r="H43" s="57"/>
      <c r="I43" s="93"/>
      <c r="L43" s="94"/>
      <c r="M43" s="57"/>
      <c r="N43" s="57"/>
      <c r="O43" s="57"/>
      <c r="P43" s="57"/>
      <c r="Q43" s="57"/>
      <c r="R43" s="93"/>
    </row>
    <row r="44" spans="3:18">
      <c r="C44" s="94"/>
      <c r="D44" s="57"/>
      <c r="E44" s="57"/>
      <c r="F44" s="57"/>
      <c r="G44" s="57"/>
      <c r="H44" s="57"/>
      <c r="I44" s="93"/>
      <c r="L44" s="94"/>
      <c r="M44" s="57"/>
      <c r="N44" s="57"/>
      <c r="O44" s="57"/>
      <c r="P44" s="57"/>
      <c r="Q44" s="57"/>
      <c r="R44" s="93"/>
    </row>
    <row r="45" spans="3:18">
      <c r="C45" s="94"/>
      <c r="D45" s="57"/>
      <c r="E45" s="57"/>
      <c r="F45" s="57"/>
      <c r="G45" s="57"/>
      <c r="H45" s="57"/>
      <c r="I45" s="93"/>
      <c r="L45" s="94"/>
      <c r="M45" s="57"/>
      <c r="N45" s="57"/>
      <c r="O45" s="57"/>
      <c r="P45" s="57"/>
      <c r="Q45" s="57"/>
      <c r="R45" s="93"/>
    </row>
    <row r="46" spans="3:18">
      <c r="C46" s="94"/>
      <c r="D46" s="57"/>
      <c r="E46" s="57"/>
      <c r="F46" s="57"/>
      <c r="G46" s="57"/>
      <c r="H46" s="57"/>
      <c r="I46" s="93"/>
      <c r="L46" s="94"/>
      <c r="M46" s="57"/>
      <c r="N46" s="57"/>
      <c r="O46" s="57"/>
      <c r="P46" s="57"/>
      <c r="Q46" s="57"/>
      <c r="R46" s="93"/>
    </row>
    <row r="47" spans="3:18">
      <c r="C47" s="94"/>
      <c r="D47" s="57"/>
      <c r="E47" s="57"/>
      <c r="F47" s="57"/>
      <c r="G47" s="57"/>
      <c r="H47" s="57"/>
      <c r="I47" s="93"/>
      <c r="L47" s="94"/>
      <c r="M47" s="57"/>
      <c r="N47" s="57"/>
      <c r="O47" s="57"/>
      <c r="P47" s="57"/>
      <c r="Q47" s="57"/>
      <c r="R47" s="93"/>
    </row>
    <row r="48" spans="3:18">
      <c r="C48" s="94"/>
      <c r="D48" s="57"/>
      <c r="E48" s="57"/>
      <c r="F48" s="57"/>
      <c r="G48" s="57"/>
      <c r="H48" s="57"/>
      <c r="I48" s="93"/>
      <c r="L48" s="94"/>
      <c r="M48" s="57"/>
      <c r="N48" s="57"/>
      <c r="O48" s="57"/>
      <c r="P48" s="57"/>
      <c r="Q48" s="57"/>
      <c r="R48" s="93"/>
    </row>
    <row r="49" spans="3:18">
      <c r="C49" s="94"/>
      <c r="D49" s="57"/>
      <c r="E49" s="57"/>
      <c r="F49" s="57"/>
      <c r="G49" s="57"/>
      <c r="H49" s="57"/>
      <c r="I49" s="93"/>
      <c r="L49" s="94"/>
      <c r="M49" s="57"/>
      <c r="N49" s="57"/>
      <c r="O49" s="57"/>
      <c r="P49" s="57"/>
      <c r="Q49" s="57"/>
      <c r="R49" s="93"/>
    </row>
    <row r="50" spans="3:18">
      <c r="C50" s="94"/>
      <c r="D50" s="57"/>
      <c r="E50" s="57"/>
      <c r="F50" s="57"/>
      <c r="G50" s="57"/>
      <c r="H50" s="57"/>
      <c r="I50" s="93"/>
      <c r="L50" s="94"/>
      <c r="M50" s="57"/>
      <c r="N50" s="57"/>
      <c r="O50" s="57"/>
      <c r="P50" s="57"/>
      <c r="Q50" s="57"/>
      <c r="R50" s="93"/>
    </row>
    <row r="51" spans="3:18">
      <c r="C51" s="94"/>
      <c r="D51" s="57"/>
      <c r="E51" s="57"/>
      <c r="F51" s="57"/>
      <c r="G51" s="57"/>
      <c r="H51" s="57"/>
      <c r="I51" s="93"/>
      <c r="L51" s="94"/>
      <c r="M51" s="57"/>
      <c r="N51" s="57"/>
      <c r="O51" s="57"/>
      <c r="P51" s="57"/>
      <c r="Q51" s="57"/>
      <c r="R51" s="93"/>
    </row>
    <row r="52" spans="3:18">
      <c r="C52" s="94"/>
      <c r="D52" s="57"/>
      <c r="E52" s="57"/>
      <c r="F52" s="57"/>
      <c r="G52" s="57"/>
      <c r="H52" s="57"/>
      <c r="I52" s="93"/>
      <c r="L52" s="94"/>
      <c r="M52" s="57"/>
      <c r="N52" s="57"/>
      <c r="O52" s="57"/>
      <c r="P52" s="57"/>
      <c r="Q52" s="57"/>
      <c r="R52" s="93"/>
    </row>
    <row r="53" spans="3:18">
      <c r="C53" s="94"/>
      <c r="D53" s="57"/>
      <c r="E53" s="57"/>
      <c r="F53" s="57"/>
      <c r="G53" s="57"/>
      <c r="H53" s="57"/>
      <c r="I53" s="93"/>
      <c r="L53" s="94"/>
      <c r="M53" s="57"/>
      <c r="N53" s="57"/>
      <c r="O53" s="57"/>
      <c r="P53" s="57"/>
      <c r="Q53" s="57"/>
      <c r="R53" s="93"/>
    </row>
    <row r="54" spans="3:18" ht="16" thickBot="1">
      <c r="C54" s="95"/>
      <c r="D54" s="96"/>
      <c r="E54" s="96"/>
      <c r="F54" s="96"/>
      <c r="G54" s="96"/>
      <c r="H54" s="96"/>
      <c r="I54" s="97"/>
      <c r="L54" s="95"/>
      <c r="M54" s="96"/>
      <c r="N54" s="96"/>
      <c r="O54" s="96"/>
      <c r="P54" s="96"/>
      <c r="Q54" s="96"/>
      <c r="R54" s="97"/>
    </row>
    <row r="56" spans="3:18">
      <c r="C56" s="82" t="s">
        <v>228</v>
      </c>
      <c r="D56" s="84"/>
    </row>
    <row r="57" spans="3:18">
      <c r="C57" s="24">
        <v>5</v>
      </c>
      <c r="D57" s="47" t="s">
        <v>156</v>
      </c>
    </row>
    <row r="58" spans="3:18">
      <c r="C58" s="24">
        <v>10</v>
      </c>
      <c r="D58" s="47" t="s">
        <v>156</v>
      </c>
    </row>
    <row r="59" spans="3:18">
      <c r="C59" s="51">
        <v>15</v>
      </c>
      <c r="D59" s="39" t="s">
        <v>156</v>
      </c>
    </row>
    <row r="61" spans="3:18">
      <c r="C61" s="82" t="s">
        <v>164</v>
      </c>
      <c r="D61" s="83"/>
      <c r="E61" s="84"/>
    </row>
    <row r="62" spans="3:18">
      <c r="C62" s="202" t="s">
        <v>251</v>
      </c>
      <c r="D62" s="25">
        <v>100</v>
      </c>
      <c r="E62" s="47" t="s">
        <v>252</v>
      </c>
    </row>
    <row r="63" spans="3:18">
      <c r="C63" s="203"/>
      <c r="D63" s="69">
        <f>D62/10/1000</f>
        <v>0.01</v>
      </c>
      <c r="E63" s="39" t="s">
        <v>253</v>
      </c>
    </row>
  </sheetData>
  <mergeCells count="3">
    <mergeCell ref="C61:E61"/>
    <mergeCell ref="C56:D56"/>
    <mergeCell ref="C62:C6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topLeftCell="A15" workbookViewId="0">
      <selection activeCell="B28" sqref="B28"/>
    </sheetView>
  </sheetViews>
  <sheetFormatPr baseColWidth="10" defaultColWidth="8.83203125" defaultRowHeight="15"/>
  <sheetData>
    <row r="1" spans="1:2">
      <c r="A1" t="s">
        <v>22</v>
      </c>
    </row>
    <row r="2" spans="1:2">
      <c r="A2" t="s">
        <v>23</v>
      </c>
      <c r="B2" t="s">
        <v>24</v>
      </c>
    </row>
    <row r="3" spans="1:2">
      <c r="B3" t="s">
        <v>25</v>
      </c>
    </row>
    <row r="5" spans="1:2">
      <c r="B5" t="s">
        <v>26</v>
      </c>
    </row>
    <row r="7" spans="1:2">
      <c r="B7" t="s">
        <v>29</v>
      </c>
    </row>
    <row r="8" spans="1:2">
      <c r="B8" t="s">
        <v>30</v>
      </c>
    </row>
    <row r="10" spans="1:2">
      <c r="B10" t="s">
        <v>31</v>
      </c>
    </row>
    <row r="11" spans="1:2">
      <c r="B11" t="s">
        <v>32</v>
      </c>
    </row>
    <row r="13" spans="1:2">
      <c r="B13" t="s">
        <v>33</v>
      </c>
    </row>
    <row r="14" spans="1:2">
      <c r="B14" t="s">
        <v>34</v>
      </c>
    </row>
    <row r="15" spans="1:2">
      <c r="B15" t="s">
        <v>35</v>
      </c>
    </row>
    <row r="16" spans="1:2">
      <c r="B16" t="s">
        <v>36</v>
      </c>
    </row>
    <row r="17" spans="2:12">
      <c r="B17" t="s">
        <v>37</v>
      </c>
    </row>
    <row r="18" spans="2:12">
      <c r="B18" t="s">
        <v>38</v>
      </c>
    </row>
    <row r="20" spans="2:12">
      <c r="B20" t="s">
        <v>40</v>
      </c>
    </row>
    <row r="21" spans="2:12">
      <c r="B21" t="s">
        <v>39</v>
      </c>
      <c r="H21" t="s">
        <v>41</v>
      </c>
    </row>
    <row r="23" spans="2:12">
      <c r="B23" t="s">
        <v>45</v>
      </c>
    </row>
    <row r="24" spans="2:12">
      <c r="B24" t="s">
        <v>46</v>
      </c>
      <c r="J24">
        <v>2018</v>
      </c>
      <c r="K24">
        <v>2008</v>
      </c>
      <c r="L24" t="s">
        <v>50</v>
      </c>
    </row>
    <row r="25" spans="2:12">
      <c r="B25" t="s">
        <v>49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>
      <c r="B27" t="s">
        <v>47</v>
      </c>
      <c r="J27">
        <v>2018</v>
      </c>
      <c r="K27" s="5">
        <v>0.35499999999999998</v>
      </c>
    </row>
    <row r="28" spans="2:12">
      <c r="B28" t="s">
        <v>48</v>
      </c>
      <c r="J28">
        <v>2028</v>
      </c>
      <c r="K28" s="6">
        <f>K27*(1+$L$25)^10</f>
        <v>0.39839642816971721</v>
      </c>
    </row>
    <row r="29" spans="2:12">
      <c r="J29">
        <v>2038</v>
      </c>
      <c r="K29" s="6">
        <f t="shared" ref="K29:K31" si="0">K28*(1+$L$25)^10</f>
        <v>0.4470977858546159</v>
      </c>
    </row>
    <row r="30" spans="2:12">
      <c r="J30">
        <v>2048</v>
      </c>
      <c r="K30" s="6">
        <f t="shared" si="0"/>
        <v>0.50175256599174112</v>
      </c>
    </row>
    <row r="31" spans="2:12">
      <c r="J31">
        <v>2058</v>
      </c>
      <c r="K31" s="6">
        <f t="shared" si="0"/>
        <v>0.56308853553830984</v>
      </c>
      <c r="L31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B99-FE8C-6543-9CED-6F23A0AB15C1}">
  <sheetPr>
    <tabColor theme="5"/>
  </sheetPr>
  <dimension ref="B2:B4"/>
  <sheetViews>
    <sheetView tabSelected="1" workbookViewId="0">
      <selection activeCell="G20" sqref="G20"/>
    </sheetView>
  </sheetViews>
  <sheetFormatPr baseColWidth="10" defaultRowHeight="15"/>
  <sheetData>
    <row r="2" spans="2:2">
      <c r="B2" t="s">
        <v>255</v>
      </c>
    </row>
    <row r="4" spans="2:2">
      <c r="B4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A65-7B3D-E248-900D-85B6D1E63997}">
  <sheetPr>
    <tabColor rgb="FF00B0F0"/>
  </sheetPr>
  <dimension ref="B2:K47"/>
  <sheetViews>
    <sheetView topLeftCell="A28" zoomScale="170" zoomScaleNormal="170" workbookViewId="0">
      <selection activeCell="D39" sqref="D39"/>
    </sheetView>
  </sheetViews>
  <sheetFormatPr baseColWidth="10" defaultColWidth="11.5" defaultRowHeight="17"/>
  <cols>
    <col min="1" max="1" width="11.5" style="104"/>
    <col min="2" max="2" width="14.33203125" style="104" bestFit="1" customWidth="1"/>
    <col min="3" max="3" width="15.5" style="104" bestFit="1" customWidth="1"/>
    <col min="4" max="4" width="14.1640625" style="104" bestFit="1" customWidth="1"/>
    <col min="5" max="5" width="13.6640625" style="104" bestFit="1" customWidth="1"/>
    <col min="6" max="7" width="11.6640625" style="104" bestFit="1" customWidth="1"/>
    <col min="8" max="8" width="8" style="104" bestFit="1" customWidth="1"/>
    <col min="9" max="9" width="17.33203125" style="104" bestFit="1" customWidth="1"/>
    <col min="10" max="10" width="11.6640625" style="104" bestFit="1" customWidth="1"/>
    <col min="11" max="16384" width="11.5" style="104"/>
  </cols>
  <sheetData>
    <row r="2" spans="2:11" ht="129">
      <c r="B2" s="103" t="s">
        <v>234</v>
      </c>
    </row>
    <row r="3" spans="2:11">
      <c r="B3" s="104" t="s">
        <v>122</v>
      </c>
    </row>
    <row r="4" spans="2:11">
      <c r="B4" s="105" t="s">
        <v>123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>
      <c r="B5" s="106" t="s">
        <v>5</v>
      </c>
      <c r="C5" s="106" t="s">
        <v>124</v>
      </c>
      <c r="D5" s="106" t="s">
        <v>129</v>
      </c>
      <c r="E5" s="106" t="s">
        <v>6</v>
      </c>
      <c r="F5" s="106" t="s">
        <v>125</v>
      </c>
      <c r="G5" s="106" t="s">
        <v>126</v>
      </c>
      <c r="H5" s="106" t="s">
        <v>146</v>
      </c>
      <c r="I5" s="106" t="s">
        <v>147</v>
      </c>
      <c r="J5" s="107" t="s">
        <v>127</v>
      </c>
      <c r="K5" s="107"/>
    </row>
    <row r="6" spans="2:11">
      <c r="B6" s="104" t="s">
        <v>74</v>
      </c>
      <c r="C6" s="104">
        <v>4</v>
      </c>
      <c r="D6" s="108">
        <v>238</v>
      </c>
      <c r="E6" s="108">
        <f>D6*C6</f>
        <v>952</v>
      </c>
      <c r="F6" s="104">
        <v>43</v>
      </c>
      <c r="G6" s="109">
        <v>0.3</v>
      </c>
      <c r="H6" s="108">
        <v>30</v>
      </c>
      <c r="I6" s="109" t="s">
        <v>148</v>
      </c>
      <c r="J6" s="104">
        <v>100</v>
      </c>
      <c r="K6" s="104" t="s">
        <v>128</v>
      </c>
    </row>
    <row r="7" spans="2:11">
      <c r="B7" s="104" t="s">
        <v>130</v>
      </c>
      <c r="C7" s="104">
        <v>1</v>
      </c>
      <c r="D7" s="108">
        <v>150</v>
      </c>
      <c r="E7" s="108">
        <f t="shared" ref="E7:E9" si="0">D7*C7</f>
        <v>150</v>
      </c>
      <c r="F7" s="104">
        <v>43</v>
      </c>
      <c r="G7" s="109">
        <v>0.3</v>
      </c>
      <c r="H7" s="108">
        <v>0</v>
      </c>
      <c r="I7" s="110">
        <v>10</v>
      </c>
    </row>
    <row r="8" spans="2:11">
      <c r="B8" s="104" t="s">
        <v>131</v>
      </c>
      <c r="C8" s="104">
        <v>1</v>
      </c>
      <c r="D8" s="108">
        <v>539.5</v>
      </c>
      <c r="E8" s="108">
        <f t="shared" si="0"/>
        <v>539.5</v>
      </c>
      <c r="F8" s="104">
        <v>43</v>
      </c>
      <c r="G8" s="109">
        <v>0.3</v>
      </c>
      <c r="H8" s="108">
        <v>0</v>
      </c>
      <c r="I8" s="110">
        <v>10</v>
      </c>
      <c r="J8" s="104">
        <v>1800</v>
      </c>
      <c r="K8" s="104" t="s">
        <v>132</v>
      </c>
    </row>
    <row r="9" spans="2:11">
      <c r="B9" s="104" t="s">
        <v>133</v>
      </c>
      <c r="C9" s="104">
        <v>8</v>
      </c>
      <c r="D9" s="108">
        <v>26</v>
      </c>
      <c r="E9" s="108">
        <f t="shared" si="0"/>
        <v>208</v>
      </c>
      <c r="F9" s="104">
        <v>43</v>
      </c>
      <c r="G9" s="109">
        <v>0.3</v>
      </c>
      <c r="H9" s="108">
        <v>0</v>
      </c>
      <c r="I9" s="110">
        <v>10</v>
      </c>
      <c r="J9" s="104">
        <v>96</v>
      </c>
      <c r="K9" s="104" t="s">
        <v>134</v>
      </c>
    </row>
    <row r="11" spans="2:11">
      <c r="B11" s="105" t="s">
        <v>139</v>
      </c>
      <c r="C11" s="105"/>
      <c r="G11" s="111"/>
    </row>
    <row r="12" spans="2:11">
      <c r="B12" s="112" t="s">
        <v>144</v>
      </c>
      <c r="C12" s="104">
        <v>4</v>
      </c>
      <c r="D12" s="104" t="s">
        <v>145</v>
      </c>
      <c r="G12" s="111"/>
    </row>
    <row r="13" spans="2:11">
      <c r="B13" s="112"/>
      <c r="G13" s="111"/>
    </row>
    <row r="14" spans="2:11">
      <c r="B14" s="112" t="s">
        <v>193</v>
      </c>
      <c r="G14" s="111"/>
    </row>
    <row r="15" spans="2:11">
      <c r="B15" s="104" t="s">
        <v>191</v>
      </c>
      <c r="C15" s="108">
        <f>E6*(1+Constants!$D$24)</f>
        <v>999.6</v>
      </c>
      <c r="G15" s="111"/>
    </row>
    <row r="16" spans="2:11">
      <c r="B16" s="104" t="s">
        <v>192</v>
      </c>
      <c r="C16" s="113">
        <f>SUM(E7:E9)*(1+Constants!$D$24)</f>
        <v>942.375</v>
      </c>
      <c r="D16" s="104" t="s">
        <v>219</v>
      </c>
      <c r="E16" s="104">
        <v>10</v>
      </c>
      <c r="F16" s="104" t="s">
        <v>156</v>
      </c>
    </row>
    <row r="17" spans="2:8">
      <c r="B17" s="104" t="s">
        <v>139</v>
      </c>
      <c r="C17" s="108">
        <f>C12*Constants!$D$26</f>
        <v>96</v>
      </c>
    </row>
    <row r="18" spans="2:8">
      <c r="B18" s="112" t="s">
        <v>87</v>
      </c>
      <c r="C18" s="114">
        <f>SUM(C15:C17)</f>
        <v>2037.9749999999999</v>
      </c>
    </row>
    <row r="23" spans="2:8">
      <c r="B23" s="105" t="s">
        <v>7</v>
      </c>
      <c r="C23" s="105"/>
    </row>
    <row r="24" spans="2:8">
      <c r="B24" s="104" t="s">
        <v>206</v>
      </c>
      <c r="C24" s="104">
        <f>C6*J6</f>
        <v>400</v>
      </c>
      <c r="D24" s="104" t="s">
        <v>132</v>
      </c>
    </row>
    <row r="26" spans="2:8" s="115" customFormat="1"/>
    <row r="28" spans="2:8" ht="129">
      <c r="B28" s="103" t="s">
        <v>235</v>
      </c>
    </row>
    <row r="29" spans="2:8">
      <c r="B29" s="104" t="s">
        <v>200</v>
      </c>
    </row>
    <row r="31" spans="2:8">
      <c r="B31" s="104" t="s">
        <v>206</v>
      </c>
      <c r="C31" s="104">
        <v>5</v>
      </c>
      <c r="D31" s="104" t="s">
        <v>211</v>
      </c>
      <c r="F31" s="116" t="s">
        <v>221</v>
      </c>
      <c r="G31" s="116"/>
      <c r="H31" s="116"/>
    </row>
    <row r="32" spans="2:8">
      <c r="B32" s="104" t="s">
        <v>212</v>
      </c>
      <c r="C32" s="108">
        <f>Constants!$Q$33</f>
        <v>4120</v>
      </c>
      <c r="F32" s="117" t="s">
        <v>226</v>
      </c>
      <c r="G32" s="117" t="s">
        <v>227</v>
      </c>
      <c r="H32" s="117" t="s">
        <v>229</v>
      </c>
    </row>
    <row r="33" spans="2:8">
      <c r="B33" s="104" t="s">
        <v>213</v>
      </c>
      <c r="C33" s="108">
        <f>C31*Constants!$Q$34</f>
        <v>10750</v>
      </c>
      <c r="F33" s="104" t="s">
        <v>222</v>
      </c>
      <c r="G33" s="118">
        <f>Constants!$D$19+2%</f>
        <v>0.05</v>
      </c>
      <c r="H33" s="104" t="s">
        <v>233</v>
      </c>
    </row>
    <row r="34" spans="2:8">
      <c r="B34" s="104" t="s">
        <v>216</v>
      </c>
      <c r="C34" s="108">
        <f>C33+C32</f>
        <v>14870</v>
      </c>
      <c r="F34" s="104" t="s">
        <v>223</v>
      </c>
      <c r="G34" s="104">
        <v>0</v>
      </c>
      <c r="H34" s="104" t="s">
        <v>120</v>
      </c>
    </row>
    <row r="36" spans="2:8">
      <c r="B36" s="112" t="s">
        <v>4</v>
      </c>
      <c r="C36" s="112" t="s">
        <v>230</v>
      </c>
      <c r="D36" s="112" t="s">
        <v>6</v>
      </c>
      <c r="E36" s="119" t="s">
        <v>8</v>
      </c>
      <c r="F36" s="112" t="s">
        <v>231</v>
      </c>
      <c r="G36" s="112" t="s">
        <v>232</v>
      </c>
    </row>
    <row r="37" spans="2:8">
      <c r="B37" s="104" t="s">
        <v>74</v>
      </c>
      <c r="C37" s="109">
        <v>0.35</v>
      </c>
      <c r="D37" s="111">
        <f>C37*$C$34</f>
        <v>5204.5</v>
      </c>
      <c r="E37" s="104">
        <v>43</v>
      </c>
      <c r="F37" s="109">
        <v>0.3</v>
      </c>
    </row>
    <row r="38" spans="2:8">
      <c r="B38" s="104" t="s">
        <v>75</v>
      </c>
      <c r="C38" s="109">
        <v>0.2</v>
      </c>
      <c r="D38" s="111">
        <f t="shared" ref="D38:D43" si="1">C38*$C$34</f>
        <v>2974</v>
      </c>
      <c r="E38" s="104">
        <v>43</v>
      </c>
      <c r="F38" s="109">
        <v>0.3</v>
      </c>
      <c r="G38" s="104">
        <v>10</v>
      </c>
      <c r="H38" s="104" t="s">
        <v>156</v>
      </c>
    </row>
    <row r="39" spans="2:8">
      <c r="B39" s="104" t="s">
        <v>119</v>
      </c>
      <c r="C39" s="109">
        <v>0.09</v>
      </c>
      <c r="D39" s="111">
        <f t="shared" si="1"/>
        <v>1338.3</v>
      </c>
      <c r="E39" s="104">
        <v>17</v>
      </c>
      <c r="F39" s="109">
        <v>0.1</v>
      </c>
    </row>
    <row r="40" spans="2:8">
      <c r="B40" s="104" t="s">
        <v>118</v>
      </c>
      <c r="C40" s="109">
        <v>0.14000000000000001</v>
      </c>
      <c r="D40" s="111">
        <f t="shared" si="1"/>
        <v>2081.8000000000002</v>
      </c>
      <c r="E40" s="104">
        <v>8</v>
      </c>
      <c r="F40" s="109">
        <v>0.2</v>
      </c>
      <c r="G40" s="104">
        <v>10</v>
      </c>
      <c r="H40" s="104" t="s">
        <v>156</v>
      </c>
    </row>
    <row r="41" spans="2:8">
      <c r="B41" s="104" t="s">
        <v>77</v>
      </c>
      <c r="C41" s="109">
        <v>0.04</v>
      </c>
      <c r="D41" s="111">
        <f t="shared" si="1"/>
        <v>594.80000000000007</v>
      </c>
      <c r="E41" s="104" t="s">
        <v>120</v>
      </c>
      <c r="F41" s="104" t="s">
        <v>120</v>
      </c>
    </row>
    <row r="42" spans="2:8">
      <c r="B42" s="104" t="s">
        <v>78</v>
      </c>
      <c r="C42" s="109">
        <v>0.02</v>
      </c>
      <c r="D42" s="111">
        <f t="shared" si="1"/>
        <v>297.40000000000003</v>
      </c>
      <c r="E42" s="104" t="s">
        <v>120</v>
      </c>
      <c r="F42" s="104" t="s">
        <v>120</v>
      </c>
    </row>
    <row r="43" spans="2:8">
      <c r="B43" s="104" t="s">
        <v>220</v>
      </c>
      <c r="C43" s="109">
        <v>0.16</v>
      </c>
      <c r="D43" s="111">
        <f t="shared" si="1"/>
        <v>2379.2000000000003</v>
      </c>
      <c r="E43" s="104" t="s">
        <v>120</v>
      </c>
      <c r="F43" s="104" t="s">
        <v>120</v>
      </c>
    </row>
    <row r="45" spans="2:8">
      <c r="C45" s="104" t="s">
        <v>239</v>
      </c>
      <c r="D45" s="104" t="s">
        <v>241</v>
      </c>
      <c r="E45" s="104" t="s">
        <v>242</v>
      </c>
    </row>
    <row r="46" spans="2:8">
      <c r="B46" s="104" t="s">
        <v>240</v>
      </c>
      <c r="C46" s="111">
        <f>SUM(D37:D38)</f>
        <v>8178.5</v>
      </c>
      <c r="D46" s="111">
        <f>D39</f>
        <v>1338.3</v>
      </c>
      <c r="E46" s="111">
        <f>D40</f>
        <v>2081.8000000000002</v>
      </c>
    </row>
    <row r="47" spans="2:8">
      <c r="B47" s="104" t="s">
        <v>126</v>
      </c>
      <c r="C47" s="109">
        <v>0.3</v>
      </c>
      <c r="D47" s="109">
        <v>0.1</v>
      </c>
      <c r="E47" s="109">
        <v>0.2</v>
      </c>
    </row>
  </sheetData>
  <mergeCells count="5">
    <mergeCell ref="J5:K5"/>
    <mergeCell ref="B4:K4"/>
    <mergeCell ref="B11:C11"/>
    <mergeCell ref="B23:C23"/>
    <mergeCell ref="F31:H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T58"/>
  <sheetViews>
    <sheetView showGridLines="0" workbookViewId="0">
      <selection activeCell="P21" sqref="P21"/>
    </sheetView>
  </sheetViews>
  <sheetFormatPr baseColWidth="10" defaultColWidth="8.83203125" defaultRowHeight="15"/>
  <cols>
    <col min="1" max="1" width="3.6640625" customWidth="1"/>
    <col min="3" max="3" width="5.1640625" customWidth="1"/>
    <col min="5" max="5" width="9.5" bestFit="1" customWidth="1"/>
    <col min="7" max="7" width="11.33203125" bestFit="1" customWidth="1"/>
    <col min="8" max="8" width="12.5" bestFit="1" customWidth="1"/>
    <col min="9" max="10" width="11.5" bestFit="1" customWidth="1"/>
    <col min="11" max="12" width="11.5" customWidth="1"/>
    <col min="13" max="13" width="8.83203125" customWidth="1"/>
    <col min="14" max="14" width="20.6640625" bestFit="1" customWidth="1"/>
  </cols>
  <sheetData>
    <row r="2" spans="2:20">
      <c r="C2" s="78" t="s">
        <v>53</v>
      </c>
      <c r="D2" s="78"/>
      <c r="E2" s="78"/>
      <c r="F2" s="78"/>
      <c r="G2" s="78"/>
      <c r="H2" s="78"/>
      <c r="I2" s="78"/>
      <c r="J2" s="78"/>
      <c r="K2" s="78"/>
      <c r="L2" s="71"/>
      <c r="N2" s="72" t="s">
        <v>113</v>
      </c>
      <c r="O2" s="73"/>
      <c r="P2" s="28"/>
      <c r="R2" s="5"/>
      <c r="S2" t="s">
        <v>70</v>
      </c>
    </row>
    <row r="3" spans="2:20">
      <c r="C3" s="78" t="s">
        <v>56</v>
      </c>
      <c r="D3" s="17" t="s">
        <v>67</v>
      </c>
      <c r="E3" s="17" t="s">
        <v>68</v>
      </c>
      <c r="F3" s="17" t="s">
        <v>69</v>
      </c>
      <c r="G3" s="17" t="s">
        <v>85</v>
      </c>
      <c r="H3" s="17" t="s">
        <v>83</v>
      </c>
      <c r="I3" s="17" t="s">
        <v>84</v>
      </c>
      <c r="J3" s="17" t="s">
        <v>58</v>
      </c>
      <c r="K3" s="17" t="s">
        <v>87</v>
      </c>
      <c r="L3" s="70" t="s">
        <v>165</v>
      </c>
      <c r="N3" s="29" t="s">
        <v>67</v>
      </c>
      <c r="O3" s="30">
        <v>0.5</v>
      </c>
      <c r="R3" s="2"/>
      <c r="S3" t="s">
        <v>71</v>
      </c>
    </row>
    <row r="4" spans="2:20">
      <c r="C4" s="78"/>
      <c r="D4" s="17" t="s">
        <v>60</v>
      </c>
      <c r="E4" s="17" t="s">
        <v>60</v>
      </c>
      <c r="F4" s="17" t="s">
        <v>60</v>
      </c>
      <c r="G4" s="17" t="s">
        <v>60</v>
      </c>
      <c r="H4" s="17" t="s">
        <v>60</v>
      </c>
      <c r="I4" s="17" t="s">
        <v>60</v>
      </c>
      <c r="J4" s="17" t="s">
        <v>60</v>
      </c>
      <c r="K4" s="17" t="s">
        <v>60</v>
      </c>
      <c r="L4" s="70" t="s">
        <v>60</v>
      </c>
      <c r="N4" s="29" t="s">
        <v>68</v>
      </c>
      <c r="O4" s="30">
        <v>0.25</v>
      </c>
      <c r="R4" s="2"/>
      <c r="S4" t="s">
        <v>72</v>
      </c>
      <c r="T4" s="6"/>
    </row>
    <row r="5" spans="2:20">
      <c r="B5" s="77" t="s">
        <v>54</v>
      </c>
      <c r="C5" s="18">
        <v>2006</v>
      </c>
      <c r="D5" s="19">
        <v>3.5000000000000003E-2</v>
      </c>
      <c r="E5" s="19">
        <v>7.4999999999999997E-2</v>
      </c>
      <c r="F5" s="19">
        <v>0.105</v>
      </c>
      <c r="G5" s="19">
        <f t="shared" ref="G5:G36" si="0">D5*$O$3+E5*$O$4+F5*$O$5</f>
        <v>6.25E-2</v>
      </c>
      <c r="H5" s="79" t="s">
        <v>112</v>
      </c>
      <c r="I5" s="79"/>
      <c r="J5" s="79"/>
      <c r="K5" s="79"/>
      <c r="L5" s="80" t="s">
        <v>112</v>
      </c>
      <c r="N5" s="22" t="s">
        <v>69</v>
      </c>
      <c r="O5" s="31">
        <v>0.25</v>
      </c>
      <c r="R5" s="2"/>
      <c r="S5" t="s">
        <v>91</v>
      </c>
      <c r="T5" s="6"/>
    </row>
    <row r="6" spans="2:20">
      <c r="B6" s="77"/>
      <c r="C6" s="20">
        <v>2007</v>
      </c>
      <c r="D6" s="21">
        <v>3.2000000000000001E-2</v>
      </c>
      <c r="E6" s="21">
        <v>7.1999999999999995E-2</v>
      </c>
      <c r="F6" s="21">
        <v>9.1999999999999998E-2</v>
      </c>
      <c r="G6" s="21">
        <f t="shared" si="0"/>
        <v>5.7000000000000002E-2</v>
      </c>
      <c r="H6" s="80"/>
      <c r="I6" s="80"/>
      <c r="J6" s="80"/>
      <c r="K6" s="80"/>
      <c r="L6" s="80"/>
      <c r="R6" s="2"/>
      <c r="S6" t="s">
        <v>244</v>
      </c>
      <c r="T6" s="6"/>
    </row>
    <row r="7" spans="2:20">
      <c r="B7" s="77"/>
      <c r="C7" s="20">
        <v>2008</v>
      </c>
      <c r="D7" s="21">
        <v>2.7E-2</v>
      </c>
      <c r="E7" s="21">
        <v>7.2999999999999995E-2</v>
      </c>
      <c r="F7" s="21">
        <v>9.2999999999999999E-2</v>
      </c>
      <c r="G7" s="21">
        <f t="shared" si="0"/>
        <v>5.5E-2</v>
      </c>
      <c r="H7" s="80"/>
      <c r="I7" s="80"/>
      <c r="J7" s="80"/>
      <c r="K7" s="80"/>
      <c r="L7" s="80"/>
      <c r="N7" s="74" t="s">
        <v>114</v>
      </c>
      <c r="O7" s="75"/>
    </row>
    <row r="8" spans="2:20">
      <c r="B8" s="77"/>
      <c r="C8" s="20">
        <v>2009</v>
      </c>
      <c r="D8" s="21">
        <v>4.2000000000000003E-2</v>
      </c>
      <c r="E8" s="21">
        <v>7.5999999999999998E-2</v>
      </c>
      <c r="F8" s="21">
        <v>9.0999999999999998E-2</v>
      </c>
      <c r="G8" s="21">
        <f t="shared" si="0"/>
        <v>6.275E-2</v>
      </c>
      <c r="H8" s="80"/>
      <c r="I8" s="80"/>
      <c r="J8" s="80"/>
      <c r="K8" s="80"/>
      <c r="L8" s="80"/>
      <c r="N8" s="32" t="s">
        <v>83</v>
      </c>
      <c r="O8" s="33">
        <v>0.16800000000000001</v>
      </c>
    </row>
    <row r="9" spans="2:20">
      <c r="B9" s="77"/>
      <c r="C9" s="20">
        <v>2010</v>
      </c>
      <c r="D9" s="21">
        <v>5.2999999999999999E-2</v>
      </c>
      <c r="E9" s="21">
        <v>0.08</v>
      </c>
      <c r="F9" s="21">
        <v>9.9000000000000005E-2</v>
      </c>
      <c r="G9" s="21">
        <f t="shared" si="0"/>
        <v>7.1250000000000008E-2</v>
      </c>
      <c r="H9" s="80"/>
      <c r="I9" s="80"/>
      <c r="J9" s="80"/>
      <c r="K9" s="80"/>
      <c r="L9" s="80"/>
      <c r="N9" s="29" t="s">
        <v>84</v>
      </c>
      <c r="O9" s="34">
        <v>0.13</v>
      </c>
    </row>
    <row r="10" spans="2:20">
      <c r="B10" s="77"/>
      <c r="C10" s="20">
        <v>2011</v>
      </c>
      <c r="D10" s="21">
        <v>5.8999999999999997E-2</v>
      </c>
      <c r="E10" s="21">
        <v>8.8999999999999996E-2</v>
      </c>
      <c r="F10" s="21">
        <v>0.107</v>
      </c>
      <c r="G10" s="21">
        <f t="shared" si="0"/>
        <v>7.85E-2</v>
      </c>
      <c r="H10" s="80"/>
      <c r="I10" s="80"/>
      <c r="J10" s="80"/>
      <c r="K10" s="80"/>
      <c r="L10" s="80"/>
      <c r="N10" s="22" t="s">
        <v>86</v>
      </c>
      <c r="O10" s="35">
        <v>0.05</v>
      </c>
    </row>
    <row r="11" spans="2:20">
      <c r="B11" s="77"/>
      <c r="C11" s="20">
        <v>2012</v>
      </c>
      <c r="D11" s="21">
        <v>6.5000000000000002E-2</v>
      </c>
      <c r="E11" s="21">
        <v>0.1</v>
      </c>
      <c r="F11" s="21">
        <v>0.11700000000000001</v>
      </c>
      <c r="G11" s="21">
        <f t="shared" si="0"/>
        <v>8.6750000000000008E-2</v>
      </c>
      <c r="H11" s="80"/>
      <c r="I11" s="80"/>
      <c r="J11" s="80"/>
      <c r="K11" s="80"/>
      <c r="L11" s="80"/>
    </row>
    <row r="12" spans="2:20">
      <c r="B12" s="77"/>
      <c r="C12" s="20">
        <v>2013</v>
      </c>
      <c r="D12" s="21">
        <v>6.7000000000000004E-2</v>
      </c>
      <c r="E12" s="21">
        <v>0.104</v>
      </c>
      <c r="F12" s="21">
        <v>0.124</v>
      </c>
      <c r="G12" s="21">
        <f t="shared" si="0"/>
        <v>9.0499999999999997E-2</v>
      </c>
      <c r="H12" s="80"/>
      <c r="I12" s="80"/>
      <c r="J12" s="80"/>
      <c r="K12" s="80"/>
      <c r="L12" s="80"/>
      <c r="N12" s="74" t="s">
        <v>115</v>
      </c>
      <c r="O12" s="76"/>
      <c r="P12" s="75"/>
    </row>
    <row r="13" spans="2:20">
      <c r="B13" s="77"/>
      <c r="C13" s="20">
        <v>2014</v>
      </c>
      <c r="D13" s="21">
        <v>7.4999999999999997E-2</v>
      </c>
      <c r="E13" s="21">
        <v>0.112</v>
      </c>
      <c r="F13" s="21">
        <v>0.13500000000000001</v>
      </c>
      <c r="G13" s="21">
        <f t="shared" si="0"/>
        <v>9.9250000000000005E-2</v>
      </c>
      <c r="H13" s="80"/>
      <c r="I13" s="80"/>
      <c r="J13" s="80"/>
      <c r="K13" s="80"/>
      <c r="L13" s="80"/>
      <c r="N13" s="32" t="s">
        <v>88</v>
      </c>
      <c r="O13" s="36">
        <v>5.0999999999999997E-2</v>
      </c>
      <c r="P13" s="37" t="s">
        <v>89</v>
      </c>
    </row>
    <row r="14" spans="2:20">
      <c r="B14" s="77"/>
      <c r="C14" s="20">
        <v>2015</v>
      </c>
      <c r="D14" s="21">
        <v>0.08</v>
      </c>
      <c r="E14" s="21">
        <v>0.122</v>
      </c>
      <c r="F14" s="21">
        <v>0.161</v>
      </c>
      <c r="G14" s="21">
        <f t="shared" si="0"/>
        <v>0.11075000000000002</v>
      </c>
      <c r="H14" s="80"/>
      <c r="I14" s="80"/>
      <c r="J14" s="80"/>
      <c r="K14" s="80"/>
      <c r="L14" s="80"/>
      <c r="N14" s="22" t="s">
        <v>90</v>
      </c>
      <c r="O14" s="38">
        <v>2.1999999999999999E-2</v>
      </c>
      <c r="P14" s="39" t="s">
        <v>89</v>
      </c>
    </row>
    <row r="15" spans="2:20">
      <c r="B15" s="77"/>
      <c r="C15" s="20">
        <v>2016</v>
      </c>
      <c r="D15" s="21">
        <v>8.6999999999999994E-2</v>
      </c>
      <c r="E15" s="21">
        <v>0.13200000000000001</v>
      </c>
      <c r="F15" s="21">
        <v>0.18</v>
      </c>
      <c r="G15" s="21">
        <f t="shared" si="0"/>
        <v>0.1215</v>
      </c>
      <c r="H15" s="80"/>
      <c r="I15" s="80"/>
      <c r="J15" s="80"/>
      <c r="K15" s="80"/>
      <c r="L15" s="2">
        <v>9.9000000000000005E-2</v>
      </c>
    </row>
    <row r="16" spans="2:20">
      <c r="B16" s="77"/>
      <c r="C16" s="20">
        <v>2017</v>
      </c>
      <c r="D16" s="21">
        <v>7.6999999999999999E-2</v>
      </c>
      <c r="E16" s="21">
        <v>0.113</v>
      </c>
      <c r="F16" s="21">
        <v>0.157</v>
      </c>
      <c r="G16" s="21">
        <f t="shared" si="0"/>
        <v>0.10600000000000001</v>
      </c>
      <c r="H16" s="80"/>
      <c r="I16" s="80"/>
      <c r="J16" s="80"/>
      <c r="K16" s="80"/>
      <c r="L16" s="2">
        <f>L15*(1+$O$16)</f>
        <v>0.10098</v>
      </c>
      <c r="N16" s="63" t="s">
        <v>243</v>
      </c>
      <c r="O16" s="67">
        <v>0.02</v>
      </c>
      <c r="P16" s="171" t="s">
        <v>89</v>
      </c>
    </row>
    <row r="17" spans="2:14">
      <c r="B17" s="77"/>
      <c r="C17" s="22">
        <v>2018</v>
      </c>
      <c r="D17" s="43">
        <v>6.5000000000000002E-2</v>
      </c>
      <c r="E17" s="44">
        <v>9.4E-2</v>
      </c>
      <c r="F17" s="45">
        <v>0.13200000000000001</v>
      </c>
      <c r="G17" s="12">
        <f t="shared" si="0"/>
        <v>8.8999999999999996E-2</v>
      </c>
      <c r="H17" s="12">
        <f>$O$8*G17</f>
        <v>1.4952E-2</v>
      </c>
      <c r="I17" s="12">
        <f>$O$9*$G$5</f>
        <v>8.1250000000000003E-3</v>
      </c>
      <c r="J17" s="13">
        <f t="shared" ref="J17:J57" si="1">G17*$O$10</f>
        <v>4.45E-3</v>
      </c>
      <c r="K17" s="23">
        <f t="shared" ref="K17:K57" si="2">J17+I17+H17+G17</f>
        <v>0.11652699999999999</v>
      </c>
      <c r="L17" s="2">
        <f t="shared" ref="L17:L57" si="3">L16*(1+$O$16)</f>
        <v>0.1029996</v>
      </c>
      <c r="M17" s="7"/>
      <c r="N17" s="7"/>
    </row>
    <row r="18" spans="2:14">
      <c r="B18" s="77" t="s">
        <v>55</v>
      </c>
      <c r="C18" s="24">
        <v>2019</v>
      </c>
      <c r="D18" s="25">
        <f t="shared" ref="D18:D57" si="4">D17*(1+$O$13)</f>
        <v>6.8315000000000001E-2</v>
      </c>
      <c r="E18" s="25">
        <f t="shared" ref="E18:E57" si="5">E17*(1+$O$13)</f>
        <v>9.8793999999999993E-2</v>
      </c>
      <c r="F18" s="25">
        <f t="shared" ref="F18:F57" si="6">F17*(1+$O$13)</f>
        <v>0.13873199999999999</v>
      </c>
      <c r="G18" s="25">
        <f t="shared" si="0"/>
        <v>9.3538999999999997E-2</v>
      </c>
      <c r="H18" s="26">
        <f t="shared" ref="H18:H57" si="7">H17*(1+$O$14)</f>
        <v>1.5280944000000001E-2</v>
      </c>
      <c r="I18" s="25">
        <f t="shared" ref="I18:I57" si="8">I17*(1+$O$14)</f>
        <v>8.3037500000000004E-3</v>
      </c>
      <c r="J18" s="27">
        <f t="shared" si="1"/>
        <v>4.67695E-3</v>
      </c>
      <c r="K18" s="172">
        <f t="shared" si="2"/>
        <v>0.121800644</v>
      </c>
      <c r="L18" s="174">
        <f t="shared" si="3"/>
        <v>0.10505959199999999</v>
      </c>
    </row>
    <row r="19" spans="2:14">
      <c r="B19" s="77"/>
      <c r="C19" s="24">
        <v>2020</v>
      </c>
      <c r="D19" s="25">
        <f t="shared" si="4"/>
        <v>7.1799064999999995E-2</v>
      </c>
      <c r="E19" s="25">
        <f t="shared" si="5"/>
        <v>0.10383249399999998</v>
      </c>
      <c r="F19" s="25">
        <f t="shared" si="6"/>
        <v>0.14580733199999998</v>
      </c>
      <c r="G19" s="25">
        <f t="shared" si="0"/>
        <v>9.8309489E-2</v>
      </c>
      <c r="H19" s="25">
        <f t="shared" si="7"/>
        <v>1.5617124768000002E-2</v>
      </c>
      <c r="I19" s="25">
        <f t="shared" si="8"/>
        <v>8.4864325000000001E-3</v>
      </c>
      <c r="J19" s="27">
        <f t="shared" si="1"/>
        <v>4.9154744500000003E-3</v>
      </c>
      <c r="K19" s="172">
        <f t="shared" si="2"/>
        <v>0.12732852071799999</v>
      </c>
      <c r="L19" s="174">
        <f t="shared" si="3"/>
        <v>0.10716078384</v>
      </c>
    </row>
    <row r="20" spans="2:14">
      <c r="B20" s="77"/>
      <c r="C20" s="24">
        <v>2021</v>
      </c>
      <c r="D20" s="25">
        <f t="shared" si="4"/>
        <v>7.5460817314999984E-2</v>
      </c>
      <c r="E20" s="25">
        <f t="shared" si="5"/>
        <v>0.10912795119399997</v>
      </c>
      <c r="F20" s="25">
        <f t="shared" si="6"/>
        <v>0.15324350593199998</v>
      </c>
      <c r="G20" s="25">
        <f t="shared" si="0"/>
        <v>0.10332327293899998</v>
      </c>
      <c r="H20" s="25">
        <f t="shared" si="7"/>
        <v>1.5960701512896001E-2</v>
      </c>
      <c r="I20" s="25">
        <f t="shared" si="8"/>
        <v>8.6731340150000003E-3</v>
      </c>
      <c r="J20" s="27">
        <f t="shared" si="1"/>
        <v>5.1661636469499993E-3</v>
      </c>
      <c r="K20" s="172">
        <f t="shared" si="2"/>
        <v>0.13312327211384598</v>
      </c>
      <c r="L20" s="174">
        <f t="shared" si="3"/>
        <v>0.10930399951679999</v>
      </c>
    </row>
    <row r="21" spans="2:14">
      <c r="B21" s="77"/>
      <c r="C21" s="24">
        <v>2022</v>
      </c>
      <c r="D21" s="25">
        <f t="shared" si="4"/>
        <v>7.9309318998064982E-2</v>
      </c>
      <c r="E21" s="25">
        <f t="shared" si="5"/>
        <v>0.11469347670489397</v>
      </c>
      <c r="F21" s="25">
        <f t="shared" si="6"/>
        <v>0.16105892473453196</v>
      </c>
      <c r="G21" s="25">
        <f t="shared" si="0"/>
        <v>0.10859275985888897</v>
      </c>
      <c r="H21" s="25">
        <f t="shared" si="7"/>
        <v>1.6311836946179714E-2</v>
      </c>
      <c r="I21" s="25">
        <f t="shared" si="8"/>
        <v>8.8639429633300005E-3</v>
      </c>
      <c r="J21" s="27">
        <f t="shared" si="1"/>
        <v>5.4296379929444491E-3</v>
      </c>
      <c r="K21" s="172">
        <f t="shared" si="2"/>
        <v>0.13919817776134313</v>
      </c>
      <c r="L21" s="174">
        <f t="shared" si="3"/>
        <v>0.11149007950713599</v>
      </c>
    </row>
    <row r="22" spans="2:14">
      <c r="B22" s="77"/>
      <c r="C22" s="40">
        <v>2023</v>
      </c>
      <c r="D22" s="41">
        <f t="shared" si="4"/>
        <v>8.3354094266966286E-2</v>
      </c>
      <c r="E22" s="41">
        <f t="shared" si="5"/>
        <v>0.12054284401684355</v>
      </c>
      <c r="F22" s="41">
        <f t="shared" si="6"/>
        <v>0.16927292989599307</v>
      </c>
      <c r="G22" s="41">
        <f t="shared" si="0"/>
        <v>0.1141309906116923</v>
      </c>
      <c r="H22" s="41">
        <f t="shared" si="7"/>
        <v>1.6670697358995668E-2</v>
      </c>
      <c r="I22" s="41">
        <f t="shared" si="8"/>
        <v>9.0589497085232611E-3</v>
      </c>
      <c r="J22" s="42">
        <f t="shared" si="1"/>
        <v>5.7065495305846153E-3</v>
      </c>
      <c r="K22" s="173">
        <f t="shared" si="2"/>
        <v>0.14556718720979583</v>
      </c>
      <c r="L22" s="174">
        <f t="shared" si="3"/>
        <v>0.11371988109727871</v>
      </c>
    </row>
    <row r="23" spans="2:14">
      <c r="B23" s="77"/>
      <c r="C23" s="24">
        <v>2024</v>
      </c>
      <c r="D23" s="25">
        <f t="shared" si="4"/>
        <v>8.7605153074581554E-2</v>
      </c>
      <c r="E23" s="25">
        <f t="shared" si="5"/>
        <v>0.12669052906170256</v>
      </c>
      <c r="F23" s="25">
        <f t="shared" si="6"/>
        <v>0.1779058493206887</v>
      </c>
      <c r="G23" s="25">
        <f t="shared" si="0"/>
        <v>0.11995167113288858</v>
      </c>
      <c r="H23" s="25">
        <f t="shared" si="7"/>
        <v>1.7037452700893574E-2</v>
      </c>
      <c r="I23" s="25">
        <f t="shared" si="8"/>
        <v>9.2582466021107722E-3</v>
      </c>
      <c r="J23" s="27">
        <f t="shared" si="1"/>
        <v>5.9975835566444292E-3</v>
      </c>
      <c r="K23" s="172">
        <f t="shared" si="2"/>
        <v>0.15224495399253735</v>
      </c>
      <c r="L23" s="174">
        <f t="shared" si="3"/>
        <v>0.11599427871922428</v>
      </c>
    </row>
    <row r="24" spans="2:14">
      <c r="B24" s="77"/>
      <c r="C24" s="24">
        <v>2025</v>
      </c>
      <c r="D24" s="25">
        <f t="shared" si="4"/>
        <v>9.2073015881385209E-2</v>
      </c>
      <c r="E24" s="25">
        <f t="shared" si="5"/>
        <v>0.13315174604384938</v>
      </c>
      <c r="F24" s="25">
        <f t="shared" si="6"/>
        <v>0.18697904763604381</v>
      </c>
      <c r="G24" s="25">
        <f t="shared" si="0"/>
        <v>0.1260692063606659</v>
      </c>
      <c r="H24" s="25">
        <f t="shared" si="7"/>
        <v>1.7412276660313232E-2</v>
      </c>
      <c r="I24" s="25">
        <f t="shared" si="8"/>
        <v>9.4619280273572099E-3</v>
      </c>
      <c r="J24" s="27">
        <f t="shared" si="1"/>
        <v>6.3034603180332953E-3</v>
      </c>
      <c r="K24" s="172">
        <f t="shared" si="2"/>
        <v>0.15924687136636964</v>
      </c>
      <c r="L24" s="174">
        <f t="shared" si="3"/>
        <v>0.11831416429360878</v>
      </c>
    </row>
    <row r="25" spans="2:14">
      <c r="B25" s="77"/>
      <c r="C25" s="24">
        <v>2026</v>
      </c>
      <c r="D25" s="25">
        <f t="shared" si="4"/>
        <v>9.6768739691335842E-2</v>
      </c>
      <c r="E25" s="25">
        <f t="shared" si="5"/>
        <v>0.13994248509208571</v>
      </c>
      <c r="F25" s="25">
        <f t="shared" si="6"/>
        <v>0.19651497906548204</v>
      </c>
      <c r="G25" s="25">
        <f t="shared" si="0"/>
        <v>0.13249873588505984</v>
      </c>
      <c r="H25" s="25">
        <f t="shared" si="7"/>
        <v>1.7795346746840125E-2</v>
      </c>
      <c r="I25" s="25">
        <f t="shared" si="8"/>
        <v>9.6700904439590684E-3</v>
      </c>
      <c r="J25" s="27">
        <f t="shared" si="1"/>
        <v>6.624936794252992E-3</v>
      </c>
      <c r="K25" s="172">
        <f t="shared" si="2"/>
        <v>0.16658910987011202</v>
      </c>
      <c r="L25" s="174">
        <f t="shared" si="3"/>
        <v>0.12068044757948096</v>
      </c>
    </row>
    <row r="26" spans="2:14">
      <c r="B26" s="77"/>
      <c r="C26" s="24">
        <v>2027</v>
      </c>
      <c r="D26" s="25">
        <f t="shared" si="4"/>
        <v>0.10170394541559397</v>
      </c>
      <c r="E26" s="25">
        <f t="shared" si="5"/>
        <v>0.14707955183178206</v>
      </c>
      <c r="F26" s="25">
        <f t="shared" si="6"/>
        <v>0.20653724299782161</v>
      </c>
      <c r="G26" s="25">
        <f t="shared" si="0"/>
        <v>0.13925617141519792</v>
      </c>
      <c r="H26" s="25">
        <f t="shared" si="7"/>
        <v>1.8186844375270607E-2</v>
      </c>
      <c r="I26" s="25">
        <f t="shared" si="8"/>
        <v>9.8828324337261689E-3</v>
      </c>
      <c r="J26" s="27">
        <f t="shared" si="1"/>
        <v>6.962808570759896E-3</v>
      </c>
      <c r="K26" s="172">
        <f t="shared" si="2"/>
        <v>0.17428865679495459</v>
      </c>
      <c r="L26" s="174">
        <f t="shared" si="3"/>
        <v>0.12309405653107058</v>
      </c>
    </row>
    <row r="27" spans="2:14">
      <c r="B27" s="77"/>
      <c r="C27" s="24">
        <v>2028</v>
      </c>
      <c r="D27" s="25">
        <f t="shared" si="4"/>
        <v>0.10689084663178926</v>
      </c>
      <c r="E27" s="25">
        <f t="shared" si="5"/>
        <v>0.15458060897520293</v>
      </c>
      <c r="F27" s="25">
        <f t="shared" si="6"/>
        <v>0.2170706423907105</v>
      </c>
      <c r="G27" s="25">
        <f t="shared" si="0"/>
        <v>0.14635823615737298</v>
      </c>
      <c r="H27" s="25">
        <f t="shared" si="7"/>
        <v>1.8586954951526562E-2</v>
      </c>
      <c r="I27" s="25">
        <f t="shared" si="8"/>
        <v>1.0100254747268144E-2</v>
      </c>
      <c r="J27" s="27">
        <f t="shared" si="1"/>
        <v>7.3179118078686494E-3</v>
      </c>
      <c r="K27" s="172">
        <f t="shared" si="2"/>
        <v>0.18236335766403633</v>
      </c>
      <c r="L27" s="174">
        <f t="shared" si="3"/>
        <v>0.12555593766169199</v>
      </c>
    </row>
    <row r="28" spans="2:14">
      <c r="B28" s="77"/>
      <c r="C28" s="24">
        <v>2029</v>
      </c>
      <c r="D28" s="25">
        <f t="shared" si="4"/>
        <v>0.11234227981001051</v>
      </c>
      <c r="E28" s="25">
        <f t="shared" si="5"/>
        <v>0.16246422003293826</v>
      </c>
      <c r="F28" s="25">
        <f t="shared" si="6"/>
        <v>0.22814124515263673</v>
      </c>
      <c r="G28" s="25">
        <f t="shared" si="0"/>
        <v>0.15382250620139898</v>
      </c>
      <c r="H28" s="25">
        <f t="shared" si="7"/>
        <v>1.8995867960460145E-2</v>
      </c>
      <c r="I28" s="25">
        <f t="shared" si="8"/>
        <v>1.0322460351708043E-2</v>
      </c>
      <c r="J28" s="27">
        <f t="shared" si="1"/>
        <v>7.6911253100699489E-3</v>
      </c>
      <c r="K28" s="172">
        <f t="shared" si="2"/>
        <v>0.1908319598236371</v>
      </c>
      <c r="L28" s="174">
        <f t="shared" si="3"/>
        <v>0.12806705641492583</v>
      </c>
    </row>
    <row r="29" spans="2:14">
      <c r="B29" s="77"/>
      <c r="C29" s="24">
        <v>2030</v>
      </c>
      <c r="D29" s="25">
        <f t="shared" si="4"/>
        <v>0.11807173608032104</v>
      </c>
      <c r="E29" s="25">
        <f t="shared" si="5"/>
        <v>0.17074989525461809</v>
      </c>
      <c r="F29" s="25">
        <f t="shared" si="6"/>
        <v>0.23977644865542119</v>
      </c>
      <c r="G29" s="25">
        <f t="shared" si="0"/>
        <v>0.16166745401767035</v>
      </c>
      <c r="H29" s="25">
        <f t="shared" si="7"/>
        <v>1.9413777055590269E-2</v>
      </c>
      <c r="I29" s="25">
        <f t="shared" si="8"/>
        <v>1.054955447944562E-2</v>
      </c>
      <c r="J29" s="27">
        <f t="shared" si="1"/>
        <v>8.083372700883518E-3</v>
      </c>
      <c r="K29" s="172">
        <f t="shared" si="2"/>
        <v>0.19971415825358976</v>
      </c>
      <c r="L29" s="174">
        <f t="shared" si="3"/>
        <v>0.13062839754322433</v>
      </c>
    </row>
    <row r="30" spans="2:14">
      <c r="B30" s="77"/>
      <c r="C30" s="24">
        <v>2031</v>
      </c>
      <c r="D30" s="25">
        <f t="shared" si="4"/>
        <v>0.12409339462041741</v>
      </c>
      <c r="E30" s="25">
        <f t="shared" si="5"/>
        <v>0.17945813991260359</v>
      </c>
      <c r="F30" s="25">
        <f t="shared" si="6"/>
        <v>0.25200504753684766</v>
      </c>
      <c r="G30" s="25">
        <f t="shared" si="0"/>
        <v>0.16991249417257154</v>
      </c>
      <c r="H30" s="25">
        <f t="shared" si="7"/>
        <v>1.9840880150813256E-2</v>
      </c>
      <c r="I30" s="25">
        <f t="shared" si="8"/>
        <v>1.0781644677993424E-2</v>
      </c>
      <c r="J30" s="27">
        <f t="shared" si="1"/>
        <v>8.4956247086285779E-3</v>
      </c>
      <c r="K30" s="172">
        <f t="shared" si="2"/>
        <v>0.20903064371000679</v>
      </c>
      <c r="L30" s="174">
        <f t="shared" si="3"/>
        <v>0.13324096549408881</v>
      </c>
    </row>
    <row r="31" spans="2:14">
      <c r="B31" s="77"/>
      <c r="C31" s="24">
        <v>2032</v>
      </c>
      <c r="D31" s="25">
        <f t="shared" si="4"/>
        <v>0.1304221577460587</v>
      </c>
      <c r="E31" s="25">
        <f t="shared" si="5"/>
        <v>0.18861050504814636</v>
      </c>
      <c r="F31" s="25">
        <f t="shared" si="6"/>
        <v>0.26485730496122689</v>
      </c>
      <c r="G31" s="25">
        <f t="shared" si="0"/>
        <v>0.17857803137537265</v>
      </c>
      <c r="H31" s="25">
        <f t="shared" si="7"/>
        <v>2.0277379514131149E-2</v>
      </c>
      <c r="I31" s="25">
        <f t="shared" si="8"/>
        <v>1.101884086090928E-2</v>
      </c>
      <c r="J31" s="27">
        <f t="shared" si="1"/>
        <v>8.9289015687686324E-3</v>
      </c>
      <c r="K31" s="172">
        <f t="shared" si="2"/>
        <v>0.21880315331918171</v>
      </c>
      <c r="L31" s="174">
        <f t="shared" si="3"/>
        <v>0.13590578480397059</v>
      </c>
    </row>
    <row r="32" spans="2:14">
      <c r="B32" s="77"/>
      <c r="C32" s="24">
        <v>2033</v>
      </c>
      <c r="D32" s="25">
        <f t="shared" si="4"/>
        <v>0.13707368779110768</v>
      </c>
      <c r="E32" s="25">
        <f t="shared" si="5"/>
        <v>0.19822964080560182</v>
      </c>
      <c r="F32" s="25">
        <f t="shared" si="6"/>
        <v>0.27836502751424946</v>
      </c>
      <c r="G32" s="25">
        <f t="shared" si="0"/>
        <v>0.18768551097551667</v>
      </c>
      <c r="H32" s="25">
        <f t="shared" si="7"/>
        <v>2.0723481863442035E-2</v>
      </c>
      <c r="I32" s="25">
        <f t="shared" si="8"/>
        <v>1.1261255359849284E-2</v>
      </c>
      <c r="J32" s="27">
        <f t="shared" si="1"/>
        <v>9.3842755487758348E-3</v>
      </c>
      <c r="K32" s="172">
        <f t="shared" si="2"/>
        <v>0.22905452374758384</v>
      </c>
      <c r="L32" s="174">
        <f t="shared" si="3"/>
        <v>0.13862390050005</v>
      </c>
    </row>
    <row r="33" spans="2:14">
      <c r="B33" s="77"/>
      <c r="C33" s="24">
        <v>2034</v>
      </c>
      <c r="D33" s="25">
        <f t="shared" si="4"/>
        <v>0.14406444586845416</v>
      </c>
      <c r="E33" s="25">
        <f t="shared" si="5"/>
        <v>0.2083393524866875</v>
      </c>
      <c r="F33" s="25">
        <f t="shared" si="6"/>
        <v>0.29256164391747619</v>
      </c>
      <c r="G33" s="25">
        <f t="shared" si="0"/>
        <v>0.197257472035268</v>
      </c>
      <c r="H33" s="25">
        <f t="shared" si="7"/>
        <v>2.1179398464437761E-2</v>
      </c>
      <c r="I33" s="25">
        <f t="shared" si="8"/>
        <v>1.1509002977765968E-2</v>
      </c>
      <c r="J33" s="27">
        <f t="shared" si="1"/>
        <v>9.8628736017634007E-3</v>
      </c>
      <c r="K33" s="172">
        <f t="shared" si="2"/>
        <v>0.23980874707923514</v>
      </c>
      <c r="L33" s="174">
        <f t="shared" si="3"/>
        <v>0.14139637851005099</v>
      </c>
    </row>
    <row r="34" spans="2:14">
      <c r="B34" s="77"/>
      <c r="C34" s="24">
        <v>2035</v>
      </c>
      <c r="D34" s="25">
        <f t="shared" si="4"/>
        <v>0.15141173260774532</v>
      </c>
      <c r="E34" s="25">
        <f t="shared" si="5"/>
        <v>0.21896465946350854</v>
      </c>
      <c r="F34" s="25">
        <f t="shared" si="6"/>
        <v>0.30748228775726744</v>
      </c>
      <c r="G34" s="25">
        <f t="shared" si="0"/>
        <v>0.20731760310906666</v>
      </c>
      <c r="H34" s="25">
        <f t="shared" si="7"/>
        <v>2.1645345230655394E-2</v>
      </c>
      <c r="I34" s="25">
        <f t="shared" si="8"/>
        <v>1.176220104327682E-2</v>
      </c>
      <c r="J34" s="27">
        <f t="shared" si="1"/>
        <v>1.0365880155453333E-2</v>
      </c>
      <c r="K34" s="172">
        <f t="shared" si="2"/>
        <v>0.25109102953845219</v>
      </c>
      <c r="L34" s="174">
        <f t="shared" si="3"/>
        <v>0.14422430608025202</v>
      </c>
    </row>
    <row r="35" spans="2:14">
      <c r="B35" s="77"/>
      <c r="C35" s="24">
        <v>2036</v>
      </c>
      <c r="D35" s="25">
        <f t="shared" si="4"/>
        <v>0.15913373097074032</v>
      </c>
      <c r="E35" s="25">
        <f t="shared" si="5"/>
        <v>0.23013185709614747</v>
      </c>
      <c r="F35" s="25">
        <f t="shared" si="6"/>
        <v>0.32316388443288807</v>
      </c>
      <c r="G35" s="25">
        <f t="shared" si="0"/>
        <v>0.21789080086762908</v>
      </c>
      <c r="H35" s="25">
        <f t="shared" si="7"/>
        <v>2.2121542825729812E-2</v>
      </c>
      <c r="I35" s="25">
        <f t="shared" si="8"/>
        <v>1.2020969466228909E-2</v>
      </c>
      <c r="J35" s="27">
        <f t="shared" si="1"/>
        <v>1.0894540043381454E-2</v>
      </c>
      <c r="K35" s="172">
        <f t="shared" si="2"/>
        <v>0.26292785320296924</v>
      </c>
      <c r="L35" s="174">
        <f t="shared" si="3"/>
        <v>0.14710879220185707</v>
      </c>
      <c r="N35" s="8"/>
    </row>
    <row r="36" spans="2:14">
      <c r="B36" s="77"/>
      <c r="C36" s="24">
        <v>2037</v>
      </c>
      <c r="D36" s="25">
        <f t="shared" si="4"/>
        <v>0.16724955125024807</v>
      </c>
      <c r="E36" s="25">
        <f t="shared" si="5"/>
        <v>0.24186858180805099</v>
      </c>
      <c r="F36" s="25">
        <f t="shared" si="6"/>
        <v>0.33964524253896533</v>
      </c>
      <c r="G36" s="25">
        <f t="shared" si="0"/>
        <v>0.22900323171187811</v>
      </c>
      <c r="H36" s="25">
        <f t="shared" si="7"/>
        <v>2.2608216767895869E-2</v>
      </c>
      <c r="I36" s="25">
        <f t="shared" si="8"/>
        <v>1.2285430794485946E-2</v>
      </c>
      <c r="J36" s="27">
        <f t="shared" si="1"/>
        <v>1.1450161585593907E-2</v>
      </c>
      <c r="K36" s="172">
        <f t="shared" si="2"/>
        <v>0.27534704085985384</v>
      </c>
      <c r="L36" s="174">
        <f t="shared" si="3"/>
        <v>0.15005096804589421</v>
      </c>
    </row>
    <row r="37" spans="2:14">
      <c r="B37" s="77"/>
      <c r="C37" s="40">
        <v>2038</v>
      </c>
      <c r="D37" s="41">
        <f t="shared" si="4"/>
        <v>0.17577927836401072</v>
      </c>
      <c r="E37" s="41">
        <f t="shared" si="5"/>
        <v>0.25420387948026157</v>
      </c>
      <c r="F37" s="41">
        <f t="shared" si="6"/>
        <v>0.35696714990845252</v>
      </c>
      <c r="G37" s="41">
        <f t="shared" ref="G37:G57" si="9">D37*$O$3+E37*$O$4+F37*$O$5</f>
        <v>0.24068239652918388</v>
      </c>
      <c r="H37" s="41">
        <f t="shared" si="7"/>
        <v>2.310559753678958E-2</v>
      </c>
      <c r="I37" s="41">
        <f t="shared" si="8"/>
        <v>1.2555710271964636E-2</v>
      </c>
      <c r="J37" s="42">
        <f t="shared" si="1"/>
        <v>1.2034119826459196E-2</v>
      </c>
      <c r="K37" s="173">
        <f t="shared" si="2"/>
        <v>0.28837782416439728</v>
      </c>
      <c r="L37" s="174">
        <f t="shared" si="3"/>
        <v>0.15305198740681211</v>
      </c>
    </row>
    <row r="38" spans="2:14">
      <c r="B38" s="77"/>
      <c r="C38" s="24">
        <v>2039</v>
      </c>
      <c r="D38" s="25">
        <f t="shared" si="4"/>
        <v>0.18474402156057526</v>
      </c>
      <c r="E38" s="25">
        <f t="shared" si="5"/>
        <v>0.26716827733375492</v>
      </c>
      <c r="F38" s="25">
        <f t="shared" si="6"/>
        <v>0.37517247455378355</v>
      </c>
      <c r="G38" s="25">
        <f t="shared" si="9"/>
        <v>0.25295719875217226</v>
      </c>
      <c r="H38" s="25">
        <f t="shared" si="7"/>
        <v>2.361392068259895E-2</v>
      </c>
      <c r="I38" s="25">
        <f t="shared" si="8"/>
        <v>1.2831935897947858E-2</v>
      </c>
      <c r="J38" s="27">
        <f t="shared" si="1"/>
        <v>1.2647859937608613E-2</v>
      </c>
      <c r="K38" s="172">
        <f t="shared" si="2"/>
        <v>0.30205091527032768</v>
      </c>
      <c r="L38" s="174">
        <f t="shared" si="3"/>
        <v>0.15611302715494835</v>
      </c>
    </row>
    <row r="39" spans="2:14">
      <c r="B39" s="77"/>
      <c r="C39" s="24">
        <v>2040</v>
      </c>
      <c r="D39" s="25">
        <f t="shared" si="4"/>
        <v>0.19416596666016459</v>
      </c>
      <c r="E39" s="25">
        <f t="shared" si="5"/>
        <v>0.28079385947777641</v>
      </c>
      <c r="F39" s="25">
        <f t="shared" si="6"/>
        <v>0.39430627075602648</v>
      </c>
      <c r="G39" s="25">
        <f t="shared" si="9"/>
        <v>0.26585801588853303</v>
      </c>
      <c r="H39" s="25">
        <f t="shared" si="7"/>
        <v>2.4133426937616127E-2</v>
      </c>
      <c r="I39" s="25">
        <f t="shared" si="8"/>
        <v>1.311423848770271E-2</v>
      </c>
      <c r="J39" s="27">
        <f t="shared" si="1"/>
        <v>1.3292900794426653E-2</v>
      </c>
      <c r="K39" s="172">
        <f t="shared" si="2"/>
        <v>0.31639858210827854</v>
      </c>
      <c r="L39" s="174">
        <f t="shared" si="3"/>
        <v>0.15923528769804732</v>
      </c>
    </row>
    <row r="40" spans="2:14">
      <c r="B40" s="77"/>
      <c r="C40" s="24">
        <v>2041</v>
      </c>
      <c r="D40" s="25">
        <f t="shared" si="4"/>
        <v>0.20406843095983296</v>
      </c>
      <c r="E40" s="25">
        <f t="shared" si="5"/>
        <v>0.29511434631114297</v>
      </c>
      <c r="F40" s="25">
        <f t="shared" si="6"/>
        <v>0.41441589056458378</v>
      </c>
      <c r="G40" s="25">
        <f t="shared" si="9"/>
        <v>0.27941677469884818</v>
      </c>
      <c r="H40" s="25">
        <f t="shared" si="7"/>
        <v>2.4664362330243682E-2</v>
      </c>
      <c r="I40" s="25">
        <f t="shared" si="8"/>
        <v>1.3402751734432171E-2</v>
      </c>
      <c r="J40" s="27">
        <f t="shared" si="1"/>
        <v>1.397083873494241E-2</v>
      </c>
      <c r="K40" s="172">
        <f t="shared" si="2"/>
        <v>0.33145472749846644</v>
      </c>
      <c r="L40" s="174">
        <f t="shared" si="3"/>
        <v>0.16241999345200828</v>
      </c>
    </row>
    <row r="41" spans="2:14">
      <c r="B41" s="77"/>
      <c r="C41" s="24">
        <v>2042</v>
      </c>
      <c r="D41" s="25">
        <f t="shared" si="4"/>
        <v>0.21447592093878443</v>
      </c>
      <c r="E41" s="25">
        <f t="shared" si="5"/>
        <v>0.31016517797301124</v>
      </c>
      <c r="F41" s="25">
        <f t="shared" si="6"/>
        <v>0.43555110098337751</v>
      </c>
      <c r="G41" s="25">
        <f t="shared" si="9"/>
        <v>0.29366703020848939</v>
      </c>
      <c r="H41" s="25">
        <f t="shared" si="7"/>
        <v>2.5206978301509045E-2</v>
      </c>
      <c r="I41" s="25">
        <f t="shared" si="8"/>
        <v>1.3697612272589678E-2</v>
      </c>
      <c r="J41" s="27">
        <f t="shared" si="1"/>
        <v>1.4683351510424471E-2</v>
      </c>
      <c r="K41" s="172">
        <f t="shared" si="2"/>
        <v>0.34725497229301261</v>
      </c>
      <c r="L41" s="174">
        <f t="shared" si="3"/>
        <v>0.16566839332104843</v>
      </c>
    </row>
    <row r="42" spans="2:14">
      <c r="B42" s="77"/>
      <c r="C42" s="24">
        <v>2043</v>
      </c>
      <c r="D42" s="25">
        <f t="shared" si="4"/>
        <v>0.22541419290666243</v>
      </c>
      <c r="E42" s="25">
        <f t="shared" si="5"/>
        <v>0.32598360204963478</v>
      </c>
      <c r="F42" s="25">
        <f t="shared" si="6"/>
        <v>0.45776420713352972</v>
      </c>
      <c r="G42" s="25">
        <f t="shared" si="9"/>
        <v>0.30864404874912232</v>
      </c>
      <c r="H42" s="25">
        <f t="shared" si="7"/>
        <v>2.5761531824142245E-2</v>
      </c>
      <c r="I42" s="25">
        <f t="shared" si="8"/>
        <v>1.399895974258665E-2</v>
      </c>
      <c r="J42" s="27">
        <f t="shared" si="1"/>
        <v>1.5432202437456117E-2</v>
      </c>
      <c r="K42" s="172">
        <f t="shared" si="2"/>
        <v>0.36383674275330735</v>
      </c>
      <c r="L42" s="174">
        <f t="shared" si="3"/>
        <v>0.16898176118746941</v>
      </c>
    </row>
    <row r="43" spans="2:14">
      <c r="B43" s="77"/>
      <c r="C43" s="24">
        <v>2044</v>
      </c>
      <c r="D43" s="25">
        <f t="shared" si="4"/>
        <v>0.23691031674490221</v>
      </c>
      <c r="E43" s="25">
        <f t="shared" si="5"/>
        <v>0.34260876575416616</v>
      </c>
      <c r="F43" s="25">
        <f t="shared" si="6"/>
        <v>0.48111018169733971</v>
      </c>
      <c r="G43" s="25">
        <f t="shared" si="9"/>
        <v>0.3243848952353276</v>
      </c>
      <c r="H43" s="25">
        <f t="shared" si="7"/>
        <v>2.6328285524273375E-2</v>
      </c>
      <c r="I43" s="25">
        <f t="shared" si="8"/>
        <v>1.4306936856923557E-2</v>
      </c>
      <c r="J43" s="27">
        <f t="shared" si="1"/>
        <v>1.621924476176638E-2</v>
      </c>
      <c r="K43" s="172">
        <f t="shared" si="2"/>
        <v>0.38123936237829092</v>
      </c>
      <c r="L43" s="174">
        <f t="shared" si="3"/>
        <v>0.17236139641121881</v>
      </c>
    </row>
    <row r="44" spans="2:14">
      <c r="B44" s="77"/>
      <c r="C44" s="24">
        <v>2045</v>
      </c>
      <c r="D44" s="25">
        <f t="shared" si="4"/>
        <v>0.2489927428988922</v>
      </c>
      <c r="E44" s="25">
        <f t="shared" si="5"/>
        <v>0.36008181280762863</v>
      </c>
      <c r="F44" s="25">
        <f t="shared" si="6"/>
        <v>0.50564680096390402</v>
      </c>
      <c r="G44" s="25">
        <f t="shared" si="9"/>
        <v>0.34092852489232928</v>
      </c>
      <c r="H44" s="25">
        <f t="shared" si="7"/>
        <v>2.690750780580739E-2</v>
      </c>
      <c r="I44" s="25">
        <f t="shared" si="8"/>
        <v>1.4621689467775876E-2</v>
      </c>
      <c r="J44" s="27">
        <f t="shared" si="1"/>
        <v>1.7046426244616466E-2</v>
      </c>
      <c r="K44" s="172">
        <f t="shared" si="2"/>
        <v>0.399504148410529</v>
      </c>
      <c r="L44" s="174">
        <f t="shared" si="3"/>
        <v>0.17580862433944319</v>
      </c>
    </row>
    <row r="45" spans="2:14">
      <c r="B45" s="77"/>
      <c r="C45" s="24">
        <v>2046</v>
      </c>
      <c r="D45" s="25">
        <f t="shared" si="4"/>
        <v>0.26169137278673571</v>
      </c>
      <c r="E45" s="25">
        <f t="shared" si="5"/>
        <v>0.37844598526081769</v>
      </c>
      <c r="F45" s="25">
        <f t="shared" si="6"/>
        <v>0.53143478781306308</v>
      </c>
      <c r="G45" s="25">
        <f t="shared" si="9"/>
        <v>0.35831587966183809</v>
      </c>
      <c r="H45" s="25">
        <f t="shared" si="7"/>
        <v>2.7499472977535154E-2</v>
      </c>
      <c r="I45" s="25">
        <f t="shared" si="8"/>
        <v>1.4943366636066945E-2</v>
      </c>
      <c r="J45" s="27">
        <f t="shared" si="1"/>
        <v>1.7915793983091906E-2</v>
      </c>
      <c r="K45" s="172">
        <f t="shared" si="2"/>
        <v>0.41867451325853211</v>
      </c>
      <c r="L45" s="174">
        <f t="shared" si="3"/>
        <v>0.17932479682623206</v>
      </c>
    </row>
    <row r="46" spans="2:14">
      <c r="B46" s="77"/>
      <c r="C46" s="24">
        <v>2047</v>
      </c>
      <c r="D46" s="25">
        <f t="shared" si="4"/>
        <v>0.27503763279885923</v>
      </c>
      <c r="E46" s="25">
        <f t="shared" si="5"/>
        <v>0.39774673050911935</v>
      </c>
      <c r="F46" s="25">
        <f t="shared" si="6"/>
        <v>0.55853796199152927</v>
      </c>
      <c r="G46" s="25">
        <f t="shared" si="9"/>
        <v>0.37658998952459177</v>
      </c>
      <c r="H46" s="25">
        <f t="shared" si="7"/>
        <v>2.810446138304093E-2</v>
      </c>
      <c r="I46" s="25">
        <f t="shared" si="8"/>
        <v>1.5272120702060419E-2</v>
      </c>
      <c r="J46" s="27">
        <f t="shared" si="1"/>
        <v>1.882949947622959E-2</v>
      </c>
      <c r="K46" s="172">
        <f t="shared" si="2"/>
        <v>0.43879607108592272</v>
      </c>
      <c r="L46" s="174">
        <f t="shared" si="3"/>
        <v>0.18291129276275669</v>
      </c>
    </row>
    <row r="47" spans="2:14">
      <c r="B47" s="77"/>
      <c r="C47" s="24">
        <v>2048</v>
      </c>
      <c r="D47" s="25">
        <f t="shared" si="4"/>
        <v>0.28906455207160103</v>
      </c>
      <c r="E47" s="25">
        <f t="shared" si="5"/>
        <v>0.41803181376508441</v>
      </c>
      <c r="F47" s="25">
        <f t="shared" si="6"/>
        <v>0.58702339805309722</v>
      </c>
      <c r="G47" s="25">
        <f t="shared" si="9"/>
        <v>0.39579607899034591</v>
      </c>
      <c r="H47" s="25">
        <f t="shared" si="7"/>
        <v>2.8722759533467829E-2</v>
      </c>
      <c r="I47" s="25">
        <f t="shared" si="8"/>
        <v>1.5608107357505748E-2</v>
      </c>
      <c r="J47" s="27">
        <f t="shared" si="1"/>
        <v>1.9789803949517296E-2</v>
      </c>
      <c r="K47" s="172">
        <f t="shared" si="2"/>
        <v>0.4599167498308368</v>
      </c>
      <c r="L47" s="174">
        <f t="shared" si="3"/>
        <v>0.18656951861801183</v>
      </c>
    </row>
    <row r="48" spans="2:14">
      <c r="B48" s="77"/>
      <c r="C48" s="24">
        <v>2049</v>
      </c>
      <c r="D48" s="25">
        <f t="shared" si="4"/>
        <v>0.30380684422725268</v>
      </c>
      <c r="E48" s="25">
        <f t="shared" si="5"/>
        <v>0.43935143626710371</v>
      </c>
      <c r="F48" s="25">
        <f t="shared" si="6"/>
        <v>0.61696159135380513</v>
      </c>
      <c r="G48" s="25">
        <f t="shared" si="9"/>
        <v>0.41598167901885358</v>
      </c>
      <c r="H48" s="25">
        <f t="shared" si="7"/>
        <v>2.9354660243204121E-2</v>
      </c>
      <c r="I48" s="25">
        <f t="shared" si="8"/>
        <v>1.5951485719370877E-2</v>
      </c>
      <c r="J48" s="27">
        <f t="shared" si="1"/>
        <v>2.0799083950942682E-2</v>
      </c>
      <c r="K48" s="172">
        <f t="shared" si="2"/>
        <v>0.48208690893237127</v>
      </c>
      <c r="L48" s="174">
        <f t="shared" si="3"/>
        <v>0.19030090899037205</v>
      </c>
    </row>
    <row r="49" spans="2:12">
      <c r="B49" s="77"/>
      <c r="C49" s="24">
        <v>2050</v>
      </c>
      <c r="D49" s="25">
        <f t="shared" si="4"/>
        <v>0.31930099328284256</v>
      </c>
      <c r="E49" s="25">
        <f t="shared" si="5"/>
        <v>0.46175835951672595</v>
      </c>
      <c r="F49" s="25">
        <f t="shared" si="6"/>
        <v>0.64842663251284915</v>
      </c>
      <c r="G49" s="25">
        <f t="shared" si="9"/>
        <v>0.43719674464881503</v>
      </c>
      <c r="H49" s="25">
        <f t="shared" si="7"/>
        <v>3.0000462768554611E-2</v>
      </c>
      <c r="I49" s="25">
        <f t="shared" si="8"/>
        <v>1.6302418405197035E-2</v>
      </c>
      <c r="J49" s="27">
        <f t="shared" si="1"/>
        <v>2.1859837232440754E-2</v>
      </c>
      <c r="K49" s="172">
        <f t="shared" si="2"/>
        <v>0.50535946305500745</v>
      </c>
      <c r="L49" s="174">
        <f t="shared" si="3"/>
        <v>0.19410692717017949</v>
      </c>
    </row>
    <row r="50" spans="2:12">
      <c r="B50" s="77"/>
      <c r="C50" s="24">
        <v>2051</v>
      </c>
      <c r="D50" s="25">
        <f t="shared" si="4"/>
        <v>0.33558534394026751</v>
      </c>
      <c r="E50" s="25">
        <f t="shared" si="5"/>
        <v>0.48530803585207893</v>
      </c>
      <c r="F50" s="25">
        <f t="shared" si="6"/>
        <v>0.68149639077100443</v>
      </c>
      <c r="G50" s="25">
        <f t="shared" si="9"/>
        <v>0.45949377862590457</v>
      </c>
      <c r="H50" s="25">
        <f t="shared" si="7"/>
        <v>3.0660472949462812E-2</v>
      </c>
      <c r="I50" s="25">
        <f t="shared" si="8"/>
        <v>1.6661071610111371E-2</v>
      </c>
      <c r="J50" s="27">
        <f t="shared" si="1"/>
        <v>2.2974688931295228E-2</v>
      </c>
      <c r="K50" s="172">
        <f t="shared" si="2"/>
        <v>0.52979001211677401</v>
      </c>
      <c r="L50" s="174">
        <f t="shared" si="3"/>
        <v>0.1979890657135831</v>
      </c>
    </row>
    <row r="51" spans="2:12">
      <c r="B51" s="77"/>
      <c r="C51" s="24">
        <v>2052</v>
      </c>
      <c r="D51" s="25">
        <f t="shared" si="4"/>
        <v>0.35270019648122114</v>
      </c>
      <c r="E51" s="25">
        <f t="shared" si="5"/>
        <v>0.51005874568053489</v>
      </c>
      <c r="F51" s="25">
        <f t="shared" si="6"/>
        <v>0.71625270670032559</v>
      </c>
      <c r="G51" s="25">
        <f t="shared" si="9"/>
        <v>0.48292796133582572</v>
      </c>
      <c r="H51" s="25">
        <f t="shared" si="7"/>
        <v>3.1335003354350993E-2</v>
      </c>
      <c r="I51" s="25">
        <f t="shared" si="8"/>
        <v>1.702761518553382E-2</v>
      </c>
      <c r="J51" s="27">
        <f t="shared" si="1"/>
        <v>2.4146398066791287E-2</v>
      </c>
      <c r="K51" s="172">
        <f t="shared" si="2"/>
        <v>0.5554369779425018</v>
      </c>
      <c r="L51" s="174">
        <f t="shared" si="3"/>
        <v>0.20194884702785476</v>
      </c>
    </row>
    <row r="52" spans="2:12">
      <c r="B52" s="77"/>
      <c r="C52" s="24">
        <v>2053</v>
      </c>
      <c r="D52" s="25">
        <f t="shared" si="4"/>
        <v>0.37068790650176342</v>
      </c>
      <c r="E52" s="25">
        <f t="shared" si="5"/>
        <v>0.53607174171024208</v>
      </c>
      <c r="F52" s="25">
        <f t="shared" si="6"/>
        <v>0.7527815947420422</v>
      </c>
      <c r="G52" s="25">
        <f t="shared" si="9"/>
        <v>0.50755728736395278</v>
      </c>
      <c r="H52" s="25">
        <f t="shared" si="7"/>
        <v>3.2024373428146714E-2</v>
      </c>
      <c r="I52" s="25">
        <f t="shared" si="8"/>
        <v>1.7402222719615563E-2</v>
      </c>
      <c r="J52" s="27">
        <f t="shared" si="1"/>
        <v>2.5377864368197639E-2</v>
      </c>
      <c r="K52" s="172">
        <f t="shared" si="2"/>
        <v>0.58236174787991268</v>
      </c>
      <c r="L52" s="174">
        <f t="shared" si="3"/>
        <v>0.20598782396841187</v>
      </c>
    </row>
    <row r="53" spans="2:12">
      <c r="B53" s="77"/>
      <c r="C53" s="24">
        <v>2054</v>
      </c>
      <c r="D53" s="25">
        <f t="shared" si="4"/>
        <v>0.38959298973335332</v>
      </c>
      <c r="E53" s="25">
        <f t="shared" si="5"/>
        <v>0.56341140053746441</v>
      </c>
      <c r="F53" s="25">
        <f t="shared" si="6"/>
        <v>0.79117345607388634</v>
      </c>
      <c r="G53" s="25">
        <f t="shared" si="9"/>
        <v>0.5334427090195144</v>
      </c>
      <c r="H53" s="25">
        <f t="shared" si="7"/>
        <v>3.2728909643565944E-2</v>
      </c>
      <c r="I53" s="25">
        <f t="shared" si="8"/>
        <v>1.7785071619447108E-2</v>
      </c>
      <c r="J53" s="27">
        <f t="shared" si="1"/>
        <v>2.6672135450975722E-2</v>
      </c>
      <c r="K53" s="172">
        <f t="shared" si="2"/>
        <v>0.61062882573350319</v>
      </c>
      <c r="L53" s="174">
        <f t="shared" si="3"/>
        <v>0.21010758044778011</v>
      </c>
    </row>
    <row r="54" spans="2:12">
      <c r="B54" s="77"/>
      <c r="C54" s="24">
        <v>2055</v>
      </c>
      <c r="D54" s="25">
        <f t="shared" si="4"/>
        <v>0.40946223220975431</v>
      </c>
      <c r="E54" s="25">
        <f t="shared" si="5"/>
        <v>0.59214538196487509</v>
      </c>
      <c r="F54" s="25">
        <f t="shared" si="6"/>
        <v>0.83152330233365446</v>
      </c>
      <c r="G54" s="25">
        <f t="shared" si="9"/>
        <v>0.56064828717950954</v>
      </c>
      <c r="H54" s="25">
        <f t="shared" si="7"/>
        <v>3.3448945655724392E-2</v>
      </c>
      <c r="I54" s="25">
        <f t="shared" si="8"/>
        <v>1.8176343195074943E-2</v>
      </c>
      <c r="J54" s="27">
        <f t="shared" si="1"/>
        <v>2.803241435897548E-2</v>
      </c>
      <c r="K54" s="172">
        <f t="shared" si="2"/>
        <v>0.64030599038928437</v>
      </c>
      <c r="L54" s="174">
        <f t="shared" si="3"/>
        <v>0.2143097320567357</v>
      </c>
    </row>
    <row r="55" spans="2:12">
      <c r="B55" s="77"/>
      <c r="C55" s="24">
        <v>2056</v>
      </c>
      <c r="D55" s="25">
        <f t="shared" si="4"/>
        <v>0.43034480605245173</v>
      </c>
      <c r="E55" s="25">
        <f t="shared" si="5"/>
        <v>0.62234479644508367</v>
      </c>
      <c r="F55" s="25">
        <f t="shared" si="6"/>
        <v>0.87393099075267078</v>
      </c>
      <c r="G55" s="25">
        <f t="shared" si="9"/>
        <v>0.58924134982566445</v>
      </c>
      <c r="H55" s="25">
        <f t="shared" si="7"/>
        <v>3.4184822460150331E-2</v>
      </c>
      <c r="I55" s="25">
        <f t="shared" si="8"/>
        <v>1.8576222745366591E-2</v>
      </c>
      <c r="J55" s="27">
        <f t="shared" si="1"/>
        <v>2.9462067491283224E-2</v>
      </c>
      <c r="K55" s="172">
        <f t="shared" si="2"/>
        <v>0.67146446252246461</v>
      </c>
      <c r="L55" s="174">
        <f t="shared" si="3"/>
        <v>0.21859592669787042</v>
      </c>
    </row>
    <row r="56" spans="2:12">
      <c r="B56" s="77"/>
      <c r="C56" s="24">
        <v>2057</v>
      </c>
      <c r="D56" s="25">
        <f t="shared" si="4"/>
        <v>0.45229239116112674</v>
      </c>
      <c r="E56" s="25">
        <f t="shared" si="5"/>
        <v>0.65408438106378286</v>
      </c>
      <c r="F56" s="25">
        <f t="shared" si="6"/>
        <v>0.91850147128105697</v>
      </c>
      <c r="G56" s="25">
        <f t="shared" si="9"/>
        <v>0.6192926586667733</v>
      </c>
      <c r="H56" s="25">
        <f t="shared" si="7"/>
        <v>3.493688855427364E-2</v>
      </c>
      <c r="I56" s="25">
        <f t="shared" si="8"/>
        <v>1.8984899645764657E-2</v>
      </c>
      <c r="J56" s="27">
        <f t="shared" si="1"/>
        <v>3.0964632933338666E-2</v>
      </c>
      <c r="K56" s="172">
        <f t="shared" si="2"/>
        <v>0.70417907980015026</v>
      </c>
      <c r="L56" s="174">
        <f t="shared" si="3"/>
        <v>0.22296784523182783</v>
      </c>
    </row>
    <row r="57" spans="2:12">
      <c r="B57" s="77"/>
      <c r="C57" s="40">
        <v>2058</v>
      </c>
      <c r="D57" s="41">
        <f t="shared" si="4"/>
        <v>0.47535930311034419</v>
      </c>
      <c r="E57" s="41">
        <f t="shared" si="5"/>
        <v>0.68744268449803569</v>
      </c>
      <c r="F57" s="41">
        <f t="shared" si="6"/>
        <v>0.96534504631639084</v>
      </c>
      <c r="G57" s="41">
        <f t="shared" si="9"/>
        <v>0.6508765842587787</v>
      </c>
      <c r="H57" s="41">
        <f t="shared" si="7"/>
        <v>3.570550010246766E-2</v>
      </c>
      <c r="I57" s="41">
        <f t="shared" si="8"/>
        <v>1.9402567437971481E-2</v>
      </c>
      <c r="J57" s="42">
        <f t="shared" si="1"/>
        <v>3.2543829212938934E-2</v>
      </c>
      <c r="K57" s="173">
        <f t="shared" si="2"/>
        <v>0.73852848101215673</v>
      </c>
      <c r="L57" s="174">
        <f t="shared" si="3"/>
        <v>0.22742720213646439</v>
      </c>
    </row>
    <row r="58" spans="2:12">
      <c r="J58" s="2"/>
      <c r="K58" s="2"/>
      <c r="L58" s="2"/>
    </row>
  </sheetData>
  <mergeCells count="9">
    <mergeCell ref="N2:O2"/>
    <mergeCell ref="N7:O7"/>
    <mergeCell ref="N12:P12"/>
    <mergeCell ref="B5:B17"/>
    <mergeCell ref="B18:B57"/>
    <mergeCell ref="C3:C4"/>
    <mergeCell ref="H5:K16"/>
    <mergeCell ref="C2:K2"/>
    <mergeCell ref="L5:L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N22"/>
  <sheetViews>
    <sheetView showGridLines="0" zoomScale="115" zoomScaleNormal="115" workbookViewId="0">
      <selection activeCell="K27" sqref="K27"/>
    </sheetView>
  </sheetViews>
  <sheetFormatPr baseColWidth="10" defaultColWidth="8.83203125" defaultRowHeight="15"/>
  <cols>
    <col min="4" max="4" width="10.5" bestFit="1" customWidth="1"/>
    <col min="8" max="8" width="9.83203125" customWidth="1"/>
  </cols>
  <sheetData>
    <row r="2" spans="2:9">
      <c r="B2" s="32" t="s">
        <v>101</v>
      </c>
      <c r="C2" s="36">
        <v>0.503</v>
      </c>
      <c r="D2" s="37" t="s">
        <v>98</v>
      </c>
    </row>
    <row r="3" spans="2:9">
      <c r="B3" s="29" t="s">
        <v>99</v>
      </c>
      <c r="C3" s="46">
        <v>0.25</v>
      </c>
      <c r="D3" s="47" t="s">
        <v>98</v>
      </c>
    </row>
    <row r="4" spans="2:9">
      <c r="B4" s="22" t="s">
        <v>100</v>
      </c>
      <c r="C4" s="38">
        <v>0.247</v>
      </c>
      <c r="D4" s="39" t="s">
        <v>98</v>
      </c>
    </row>
    <row r="6" spans="2:9" ht="32" customHeight="1">
      <c r="B6" s="100" t="s">
        <v>94</v>
      </c>
      <c r="C6" s="17" t="s">
        <v>95</v>
      </c>
      <c r="D6" s="17" t="s">
        <v>97</v>
      </c>
      <c r="E6" s="17" t="s">
        <v>99</v>
      </c>
      <c r="F6" s="17" t="s">
        <v>100</v>
      </c>
      <c r="G6" s="58" t="s">
        <v>149</v>
      </c>
      <c r="H6" s="179" t="s">
        <v>248</v>
      </c>
      <c r="I6" s="58" t="s">
        <v>245</v>
      </c>
    </row>
    <row r="7" spans="2:9">
      <c r="B7" s="182"/>
      <c r="C7" s="183" t="s">
        <v>96</v>
      </c>
      <c r="D7" s="183" t="s">
        <v>96</v>
      </c>
      <c r="E7" s="183" t="s">
        <v>96</v>
      </c>
      <c r="F7" s="183" t="s">
        <v>96</v>
      </c>
      <c r="G7" s="181" t="s">
        <v>96</v>
      </c>
      <c r="H7" s="184"/>
      <c r="I7" s="181" t="s">
        <v>96</v>
      </c>
    </row>
    <row r="8" spans="2:9">
      <c r="B8" s="55">
        <v>1</v>
      </c>
      <c r="C8" s="188">
        <v>219.15</v>
      </c>
      <c r="D8" s="189">
        <f>C8*$C$2</f>
        <v>110.23245</v>
      </c>
      <c r="E8" s="189">
        <f>C8*$C$3</f>
        <v>54.787500000000001</v>
      </c>
      <c r="F8" s="189">
        <f>C8*$C$4</f>
        <v>54.130050000000004</v>
      </c>
      <c r="G8" s="189">
        <f>D8*$D$20+E8*$E$20+F8*$F$20</f>
        <v>134.62384499999999</v>
      </c>
      <c r="H8" s="180">
        <v>0.25294818601015401</v>
      </c>
      <c r="I8" s="190">
        <f>H8*G8</f>
        <v>34.052857386462136</v>
      </c>
    </row>
    <row r="9" spans="2:9">
      <c r="B9" s="24">
        <v>2</v>
      </c>
      <c r="C9" s="48">
        <v>238.72</v>
      </c>
      <c r="D9" s="49">
        <f t="shared" ref="D9:D19" si="0">C9*$C$2</f>
        <v>120.07616</v>
      </c>
      <c r="E9" s="49">
        <f t="shared" ref="E9:E19" si="1">C9*$C$3</f>
        <v>59.68</v>
      </c>
      <c r="F9" s="49">
        <f t="shared" ref="F9:F19" si="2">C9*$C$4</f>
        <v>58.963839999999998</v>
      </c>
      <c r="G9" s="49">
        <f>D9*$D$20+E9*$E$20+F9*$F$20</f>
        <v>146.64569599999999</v>
      </c>
      <c r="H9" s="86">
        <v>0.351299423149111</v>
      </c>
      <c r="I9" s="191">
        <f t="shared" ref="I9:I19" si="3">H9*G9</f>
        <v>51.516548412099887</v>
      </c>
    </row>
    <row r="10" spans="2:9">
      <c r="B10" s="24">
        <v>3</v>
      </c>
      <c r="C10" s="48">
        <v>292.2</v>
      </c>
      <c r="D10" s="49">
        <f t="shared" si="0"/>
        <v>146.97659999999999</v>
      </c>
      <c r="E10" s="49">
        <f t="shared" si="1"/>
        <v>73.05</v>
      </c>
      <c r="F10" s="49">
        <f t="shared" si="2"/>
        <v>72.173400000000001</v>
      </c>
      <c r="G10" s="49">
        <f>D10*$D$20+E10*$E$20+F10*$F$20</f>
        <v>179.49845999999999</v>
      </c>
      <c r="H10" s="86">
        <v>0.521648762861042</v>
      </c>
      <c r="I10" s="191">
        <f t="shared" si="3"/>
        <v>93.635149594462234</v>
      </c>
    </row>
    <row r="11" spans="2:9">
      <c r="B11" s="24">
        <v>4</v>
      </c>
      <c r="C11" s="48">
        <v>365.25</v>
      </c>
      <c r="D11" s="49">
        <f t="shared" si="0"/>
        <v>183.72075000000001</v>
      </c>
      <c r="E11" s="49">
        <f t="shared" si="1"/>
        <v>91.3125</v>
      </c>
      <c r="F11" s="49">
        <f t="shared" si="2"/>
        <v>90.216750000000005</v>
      </c>
      <c r="G11" s="49">
        <f>D11*$D$20+E11*$E$20+F11*$F$20</f>
        <v>224.37307500000003</v>
      </c>
      <c r="H11" s="86">
        <v>0.71835123713895699</v>
      </c>
      <c r="I11" s="191">
        <f t="shared" si="3"/>
        <v>161.17867600692199</v>
      </c>
    </row>
    <row r="12" spans="2:9">
      <c r="B12" s="24">
        <v>5</v>
      </c>
      <c r="C12" s="48">
        <v>438.3</v>
      </c>
      <c r="D12" s="49">
        <f t="shared" si="0"/>
        <v>220.4649</v>
      </c>
      <c r="E12" s="49">
        <f t="shared" si="1"/>
        <v>109.575</v>
      </c>
      <c r="F12" s="49">
        <f t="shared" si="2"/>
        <v>108.26010000000001</v>
      </c>
      <c r="G12" s="49">
        <f>D12*$D$20+E12*$E$20+F12*$F$20</f>
        <v>269.24768999999998</v>
      </c>
      <c r="H12" s="86">
        <v>0.88870057685088799</v>
      </c>
      <c r="I12" s="191">
        <f t="shared" si="3"/>
        <v>239.28057741876904</v>
      </c>
    </row>
    <row r="13" spans="2:9">
      <c r="B13" s="24">
        <v>6</v>
      </c>
      <c r="C13" s="48">
        <v>491.78</v>
      </c>
      <c r="D13" s="49">
        <f t="shared" si="0"/>
        <v>247.36533999999997</v>
      </c>
      <c r="E13" s="49">
        <f t="shared" si="1"/>
        <v>122.94499999999999</v>
      </c>
      <c r="F13" s="49">
        <f t="shared" si="2"/>
        <v>121.46965999999999</v>
      </c>
      <c r="G13" s="49">
        <f>D13*$D$20+E13*$E$20+F13*$F$20</f>
        <v>302.10045399999996</v>
      </c>
      <c r="H13" s="86">
        <v>0.98705181398984498</v>
      </c>
      <c r="I13" s="191">
        <f t="shared" si="3"/>
        <v>298.1888011278557</v>
      </c>
    </row>
    <row r="14" spans="2:9">
      <c r="B14" s="24">
        <v>7</v>
      </c>
      <c r="C14" s="48">
        <v>511.35</v>
      </c>
      <c r="D14" s="49">
        <f t="shared" si="0"/>
        <v>257.20904999999999</v>
      </c>
      <c r="E14" s="49">
        <f t="shared" si="1"/>
        <v>127.83750000000001</v>
      </c>
      <c r="F14" s="49">
        <f t="shared" si="2"/>
        <v>126.30345</v>
      </c>
      <c r="G14" s="49">
        <f>D14*$D$20+E14*$E$20+F14*$F$20</f>
        <v>314.12230499999998</v>
      </c>
      <c r="H14" s="86">
        <v>0.98705181398984598</v>
      </c>
      <c r="I14" s="191">
        <f t="shared" si="3"/>
        <v>310.05499096492167</v>
      </c>
    </row>
    <row r="15" spans="2:9">
      <c r="B15" s="24">
        <v>8</v>
      </c>
      <c r="C15" s="48">
        <v>491.78</v>
      </c>
      <c r="D15" s="49">
        <f t="shared" si="0"/>
        <v>247.36533999999997</v>
      </c>
      <c r="E15" s="49">
        <f t="shared" si="1"/>
        <v>122.94499999999999</v>
      </c>
      <c r="F15" s="49">
        <f t="shared" si="2"/>
        <v>121.46965999999999</v>
      </c>
      <c r="G15" s="49">
        <f>D15*$D$20+E15*$E$20+F15*$F$20</f>
        <v>302.10045399999996</v>
      </c>
      <c r="H15" s="86">
        <v>0.88870057685088799</v>
      </c>
      <c r="I15" s="191">
        <f t="shared" si="3"/>
        <v>268.47684773671511</v>
      </c>
    </row>
    <row r="16" spans="2:9">
      <c r="B16" s="24">
        <v>9</v>
      </c>
      <c r="C16" s="48">
        <v>438.3</v>
      </c>
      <c r="D16" s="49">
        <f t="shared" si="0"/>
        <v>220.4649</v>
      </c>
      <c r="E16" s="49">
        <f t="shared" si="1"/>
        <v>109.575</v>
      </c>
      <c r="F16" s="49">
        <f t="shared" si="2"/>
        <v>108.26010000000001</v>
      </c>
      <c r="G16" s="49">
        <f>D16*$D$20+E16*$E$20+F16*$F$20</f>
        <v>269.24768999999998</v>
      </c>
      <c r="H16" s="86">
        <v>0.71835123713895699</v>
      </c>
      <c r="I16" s="191">
        <f t="shared" si="3"/>
        <v>193.41441120830638</v>
      </c>
    </row>
    <row r="17" spans="2:14">
      <c r="B17" s="24">
        <v>10</v>
      </c>
      <c r="C17" s="48">
        <v>365.25</v>
      </c>
      <c r="D17" s="49">
        <f t="shared" si="0"/>
        <v>183.72075000000001</v>
      </c>
      <c r="E17" s="49">
        <f t="shared" si="1"/>
        <v>91.3125</v>
      </c>
      <c r="F17" s="49">
        <f t="shared" si="2"/>
        <v>90.216750000000005</v>
      </c>
      <c r="G17" s="49">
        <f>D17*$D$20+E17*$E$20+F17*$F$20</f>
        <v>224.37307500000003</v>
      </c>
      <c r="H17" s="86">
        <v>0.521648762861042</v>
      </c>
      <c r="I17" s="191">
        <f t="shared" si="3"/>
        <v>117.04393699307781</v>
      </c>
    </row>
    <row r="18" spans="2:14">
      <c r="B18" s="24">
        <v>11</v>
      </c>
      <c r="C18" s="48">
        <v>292.2</v>
      </c>
      <c r="D18" s="49">
        <f t="shared" si="0"/>
        <v>146.97659999999999</v>
      </c>
      <c r="E18" s="49">
        <f t="shared" si="1"/>
        <v>73.05</v>
      </c>
      <c r="F18" s="49">
        <f t="shared" si="2"/>
        <v>72.173400000000001</v>
      </c>
      <c r="G18" s="49">
        <f>D18*$D$20+E18*$E$20+F18*$F$20</f>
        <v>179.49845999999999</v>
      </c>
      <c r="H18" s="86">
        <v>0.351299423149111</v>
      </c>
      <c r="I18" s="191">
        <f t="shared" si="3"/>
        <v>63.057705454153776</v>
      </c>
    </row>
    <row r="19" spans="2:14">
      <c r="B19" s="51">
        <v>12</v>
      </c>
      <c r="C19" s="16">
        <v>238.72</v>
      </c>
      <c r="D19" s="15">
        <f t="shared" si="0"/>
        <v>120.07616</v>
      </c>
      <c r="E19" s="15">
        <f t="shared" si="1"/>
        <v>59.68</v>
      </c>
      <c r="F19" s="15">
        <f t="shared" si="2"/>
        <v>58.963839999999998</v>
      </c>
      <c r="G19" s="15">
        <f>D19*$D$20+E19*$E$20+F19*$F$20</f>
        <v>146.64569599999999</v>
      </c>
      <c r="H19" s="66">
        <v>0.25294818601015401</v>
      </c>
      <c r="I19" s="192">
        <f t="shared" si="3"/>
        <v>37.093762789396493</v>
      </c>
    </row>
    <row r="20" spans="2:14">
      <c r="B20" s="81" t="s">
        <v>102</v>
      </c>
      <c r="C20" s="185"/>
      <c r="D20" s="186">
        <v>0.85</v>
      </c>
      <c r="E20" s="187">
        <v>0.5</v>
      </c>
      <c r="F20" s="187">
        <v>0.25</v>
      </c>
      <c r="G20" s="14"/>
    </row>
    <row r="21" spans="2:14">
      <c r="C21" s="14"/>
      <c r="D21" s="14"/>
      <c r="L21" t="s">
        <v>246</v>
      </c>
      <c r="M21" t="s">
        <v>247</v>
      </c>
      <c r="N21" t="s">
        <v>249</v>
      </c>
    </row>
    <row r="22" spans="2:14">
      <c r="L22">
        <f>MIN(G8:G19)/MAX(G8:G19)</f>
        <v>0.42857142857142855</v>
      </c>
      <c r="M22">
        <v>0.114</v>
      </c>
      <c r="N22">
        <f>MIN(I8:I19)/MAX(I8:I19)</f>
        <v>0.10982844456232196</v>
      </c>
    </row>
  </sheetData>
  <mergeCells count="3">
    <mergeCell ref="B20:C20"/>
    <mergeCell ref="B6:B7"/>
    <mergeCell ref="H6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E21"/>
  <sheetViews>
    <sheetView showGridLines="0" zoomScale="135" zoomScaleNormal="135" workbookViewId="0">
      <selection activeCell="D9" sqref="D9"/>
    </sheetView>
  </sheetViews>
  <sheetFormatPr baseColWidth="10" defaultColWidth="8.83203125" defaultRowHeight="15"/>
  <cols>
    <col min="2" max="2" width="15.5" customWidth="1"/>
    <col min="3" max="3" width="8.5" bestFit="1" customWidth="1"/>
    <col min="4" max="4" width="9.5" bestFit="1" customWidth="1"/>
  </cols>
  <sheetData>
    <row r="2" spans="2:4">
      <c r="B2" s="32" t="s">
        <v>107</v>
      </c>
      <c r="C2" s="53">
        <v>8300</v>
      </c>
      <c r="D2" s="37" t="s">
        <v>108</v>
      </c>
    </row>
    <row r="3" spans="2:4">
      <c r="B3" s="29" t="s">
        <v>106</v>
      </c>
      <c r="C3" s="54">
        <v>0.1</v>
      </c>
      <c r="D3" s="47"/>
    </row>
    <row r="4" spans="2:4">
      <c r="B4" s="29" t="s">
        <v>109</v>
      </c>
      <c r="C4" s="49">
        <f>$C$2/12*C3</f>
        <v>69.166666666666671</v>
      </c>
      <c r="D4" s="47" t="s">
        <v>108</v>
      </c>
    </row>
    <row r="5" spans="2:4">
      <c r="B5" s="22" t="s">
        <v>110</v>
      </c>
      <c r="C5" s="15">
        <v>691.67</v>
      </c>
      <c r="D5" s="39" t="s">
        <v>108</v>
      </c>
    </row>
    <row r="7" spans="2:4">
      <c r="B7" s="55"/>
      <c r="C7" s="83" t="s">
        <v>103</v>
      </c>
      <c r="D7" s="84"/>
    </row>
    <row r="8" spans="2:4">
      <c r="B8" s="22" t="s">
        <v>94</v>
      </c>
      <c r="C8" s="11" t="s">
        <v>104</v>
      </c>
      <c r="D8" s="56" t="s">
        <v>105</v>
      </c>
    </row>
    <row r="9" spans="2:4">
      <c r="B9" s="24">
        <v>1</v>
      </c>
      <c r="C9" s="49">
        <f>$C$2/12</f>
        <v>691.66666666666663</v>
      </c>
      <c r="D9" s="50">
        <f>$C$4*COS(B9*PI()/6)+$C$5</f>
        <v>751.57009042842367</v>
      </c>
    </row>
    <row r="10" spans="2:4">
      <c r="B10" s="24">
        <v>2</v>
      </c>
      <c r="C10" s="49">
        <f t="shared" ref="C10:C20" si="0">$C$2/12</f>
        <v>691.66666666666663</v>
      </c>
      <c r="D10" s="50">
        <f t="shared" ref="D10:D20" si="1">$C$4*COS(B10*PI()/6)+$C$5</f>
        <v>726.25333333333333</v>
      </c>
    </row>
    <row r="11" spans="2:4">
      <c r="B11" s="24">
        <v>3</v>
      </c>
      <c r="C11" s="49">
        <f t="shared" si="0"/>
        <v>691.66666666666663</v>
      </c>
      <c r="D11" s="50">
        <f t="shared" si="1"/>
        <v>691.67</v>
      </c>
    </row>
    <row r="12" spans="2:4">
      <c r="B12" s="24">
        <v>4</v>
      </c>
      <c r="C12" s="49">
        <f t="shared" si="0"/>
        <v>691.66666666666663</v>
      </c>
      <c r="D12" s="50">
        <f t="shared" si="1"/>
        <v>657.08666666666659</v>
      </c>
    </row>
    <row r="13" spans="2:4">
      <c r="B13" s="24">
        <v>5</v>
      </c>
      <c r="C13" s="49">
        <f t="shared" si="0"/>
        <v>691.66666666666663</v>
      </c>
      <c r="D13" s="50">
        <f t="shared" si="1"/>
        <v>631.76990957157625</v>
      </c>
    </row>
    <row r="14" spans="2:4">
      <c r="B14" s="24">
        <v>6</v>
      </c>
      <c r="C14" s="49">
        <f t="shared" si="0"/>
        <v>691.66666666666663</v>
      </c>
      <c r="D14" s="50">
        <f t="shared" si="1"/>
        <v>622.50333333333333</v>
      </c>
    </row>
    <row r="15" spans="2:4">
      <c r="B15" s="24">
        <v>7</v>
      </c>
      <c r="C15" s="49">
        <f t="shared" si="0"/>
        <v>691.66666666666663</v>
      </c>
      <c r="D15" s="50">
        <f t="shared" si="1"/>
        <v>631.76990957157625</v>
      </c>
    </row>
    <row r="16" spans="2:4">
      <c r="B16" s="24">
        <v>8</v>
      </c>
      <c r="C16" s="49">
        <f t="shared" si="0"/>
        <v>691.66666666666663</v>
      </c>
      <c r="D16" s="50">
        <f t="shared" si="1"/>
        <v>657.08666666666659</v>
      </c>
    </row>
    <row r="17" spans="2:5">
      <c r="B17" s="24">
        <v>9</v>
      </c>
      <c r="C17" s="49">
        <f t="shared" si="0"/>
        <v>691.66666666666663</v>
      </c>
      <c r="D17" s="50">
        <f t="shared" si="1"/>
        <v>691.67</v>
      </c>
    </row>
    <row r="18" spans="2:5">
      <c r="B18" s="24">
        <v>10</v>
      </c>
      <c r="C18" s="49">
        <f t="shared" si="0"/>
        <v>691.66666666666663</v>
      </c>
      <c r="D18" s="50">
        <f t="shared" si="1"/>
        <v>726.25333333333333</v>
      </c>
    </row>
    <row r="19" spans="2:5">
      <c r="B19" s="24">
        <v>11</v>
      </c>
      <c r="C19" s="49">
        <f t="shared" si="0"/>
        <v>691.66666666666663</v>
      </c>
      <c r="D19" s="50">
        <f t="shared" si="1"/>
        <v>751.57009042842367</v>
      </c>
    </row>
    <row r="20" spans="2:5">
      <c r="B20" s="51">
        <v>12</v>
      </c>
      <c r="C20" s="15">
        <f t="shared" si="0"/>
        <v>691.66666666666663</v>
      </c>
      <c r="D20" s="52">
        <f t="shared" si="1"/>
        <v>760.83666666666659</v>
      </c>
    </row>
    <row r="21" spans="2:5">
      <c r="B21" s="22" t="s">
        <v>111</v>
      </c>
      <c r="C21" s="15">
        <f>SUM(C9:C20)</f>
        <v>8300.0000000000018</v>
      </c>
      <c r="D21" s="52">
        <f>SUM(D9:D20)</f>
        <v>8300.0400000000009</v>
      </c>
      <c r="E21" t="s">
        <v>108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B96-2ADC-3042-9646-21FE100CA32C}">
  <sheetPr>
    <tabColor theme="9"/>
  </sheetPr>
  <dimension ref="B2:H8"/>
  <sheetViews>
    <sheetView showGridLines="0" zoomScale="170" zoomScaleNormal="170" workbookViewId="0">
      <selection activeCell="F21" sqref="F21"/>
    </sheetView>
  </sheetViews>
  <sheetFormatPr baseColWidth="10" defaultColWidth="11.5" defaultRowHeight="15"/>
  <cols>
    <col min="2" max="2" width="13.6640625" customWidth="1"/>
    <col min="3" max="3" width="7.5" customWidth="1"/>
    <col min="6" max="6" width="11.1640625" bestFit="1" customWidth="1"/>
    <col min="7" max="7" width="15.6640625" bestFit="1" customWidth="1"/>
    <col min="8" max="8" width="12.1640625" bestFit="1" customWidth="1"/>
  </cols>
  <sheetData>
    <row r="2" spans="2:8" ht="24">
      <c r="B2" s="62" t="s">
        <v>157</v>
      </c>
    </row>
    <row r="4" spans="2:8">
      <c r="B4" s="61" t="s">
        <v>160</v>
      </c>
      <c r="C4" s="61"/>
      <c r="D4" s="61"/>
      <c r="E4" s="61"/>
      <c r="F4" s="61"/>
      <c r="G4" s="61"/>
      <c r="H4" s="61"/>
    </row>
    <row r="5" spans="2:8">
      <c r="B5" t="s">
        <v>158</v>
      </c>
      <c r="C5" s="60">
        <v>0.75</v>
      </c>
      <c r="D5" t="s">
        <v>3</v>
      </c>
      <c r="E5" t="s">
        <v>167</v>
      </c>
      <c r="F5" s="3">
        <v>0.3</v>
      </c>
      <c r="G5" t="s">
        <v>168</v>
      </c>
      <c r="H5" s="2">
        <v>10000</v>
      </c>
    </row>
    <row r="6" spans="2:8">
      <c r="B6" t="s">
        <v>159</v>
      </c>
      <c r="C6" s="60">
        <v>0.15</v>
      </c>
      <c r="D6" t="s">
        <v>3</v>
      </c>
      <c r="F6" s="2"/>
    </row>
    <row r="8" spans="2:8">
      <c r="B8" t="s">
        <v>161</v>
      </c>
      <c r="C8" s="60">
        <v>0.08</v>
      </c>
      <c r="D8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sheetPr>
    <tabColor rgb="FF00B050"/>
  </sheetPr>
  <dimension ref="B3:M45"/>
  <sheetViews>
    <sheetView showGridLines="0" topLeftCell="A2" zoomScale="115" zoomScaleNormal="115" workbookViewId="0">
      <selection activeCell="E34" sqref="E34"/>
    </sheetView>
  </sheetViews>
  <sheetFormatPr baseColWidth="10" defaultColWidth="8.83203125" defaultRowHeight="15"/>
  <cols>
    <col min="2" max="2" width="5" bestFit="1" customWidth="1"/>
    <col min="3" max="3" width="6.5" bestFit="1" customWidth="1"/>
    <col min="4" max="4" width="11" bestFit="1" customWidth="1"/>
    <col min="5" max="5" width="11.33203125" bestFit="1" customWidth="1"/>
    <col min="6" max="9" width="11.5" bestFit="1" customWidth="1"/>
    <col min="10" max="10" width="11.1640625" bestFit="1" customWidth="1"/>
  </cols>
  <sheetData>
    <row r="3" spans="2:13">
      <c r="B3" s="100" t="s">
        <v>56</v>
      </c>
      <c r="C3" s="17" t="s">
        <v>61</v>
      </c>
      <c r="D3" s="17" t="s">
        <v>92</v>
      </c>
      <c r="E3" s="17" t="s">
        <v>190</v>
      </c>
      <c r="F3" s="1"/>
      <c r="G3" s="101"/>
      <c r="H3" s="101"/>
      <c r="I3" s="102" t="s">
        <v>179</v>
      </c>
      <c r="J3" s="102"/>
      <c r="M3" t="s">
        <v>93</v>
      </c>
    </row>
    <row r="4" spans="2:13">
      <c r="B4" s="100"/>
      <c r="C4" s="17" t="s">
        <v>62</v>
      </c>
      <c r="D4" s="17" t="s">
        <v>59</v>
      </c>
      <c r="E4" s="17" t="s">
        <v>178</v>
      </c>
      <c r="G4" s="58" t="s">
        <v>188</v>
      </c>
      <c r="H4" s="58" t="s">
        <v>59</v>
      </c>
      <c r="I4" s="58" t="s">
        <v>178</v>
      </c>
      <c r="J4" s="99"/>
    </row>
    <row r="5" spans="2:13">
      <c r="B5">
        <v>0</v>
      </c>
      <c r="C5">
        <v>0</v>
      </c>
      <c r="D5" s="7">
        <v>0</v>
      </c>
      <c r="E5" s="8">
        <f>D5/(1+Constants!$D$20)^B5</f>
        <v>0</v>
      </c>
      <c r="G5" t="s">
        <v>64</v>
      </c>
      <c r="H5" s="2">
        <f>NPV(Constants!$D$21,D6:D10)</f>
        <v>5057.565959640091</v>
      </c>
      <c r="I5" s="2">
        <f>NPV(Constants!$D$21,E6:E10)</f>
        <v>4764.8942028574611</v>
      </c>
      <c r="J5" t="s">
        <v>180</v>
      </c>
    </row>
    <row r="6" spans="2:13">
      <c r="B6">
        <v>1</v>
      </c>
      <c r="C6" s="10">
        <f>SUM(Consumption!$D$9:$D$20)</f>
        <v>8300.0400000000009</v>
      </c>
      <c r="D6" s="7">
        <f>C6*'Grid Power'!K18</f>
        <v>1010.9502172257601</v>
      </c>
      <c r="E6" s="8">
        <f>D6/(1+Constants!$D$20)^B6</f>
        <v>991.12766394682353</v>
      </c>
      <c r="G6" t="s">
        <v>65</v>
      </c>
      <c r="H6" s="2">
        <f>NPV(Constants!$D$21,D6:D25)</f>
        <v>22837.989575851912</v>
      </c>
      <c r="I6" s="2">
        <f>NPV(Constants!$D$21,E6:E25)</f>
        <v>18478.410159694031</v>
      </c>
      <c r="J6" t="s">
        <v>180</v>
      </c>
    </row>
    <row r="7" spans="2:13">
      <c r="B7">
        <v>2</v>
      </c>
      <c r="C7" s="10">
        <f>SUM(Consumption!$D$9:$D$20)</f>
        <v>8300.0400000000009</v>
      </c>
      <c r="D7" s="7">
        <f>C7*'Grid Power'!K19</f>
        <v>1056.8318151002288</v>
      </c>
      <c r="E7" s="8">
        <f>D7/(1+Constants!$D$20)^B7</f>
        <v>1015.7937476934148</v>
      </c>
      <c r="G7" s="61" t="s">
        <v>66</v>
      </c>
      <c r="H7" s="69">
        <f>NPV(Constants!$D$21,D6:D45)</f>
        <v>54766.122515521602</v>
      </c>
      <c r="I7" s="69">
        <f>NPV(Constants!$D$21,E6:E45)</f>
        <v>35844.190316733766</v>
      </c>
      <c r="J7" s="61" t="s">
        <v>180</v>
      </c>
    </row>
    <row r="8" spans="2:13">
      <c r="B8">
        <v>3</v>
      </c>
      <c r="C8" s="10">
        <f>SUM(Consumption!$D$9:$D$20)</f>
        <v>8300.0400000000009</v>
      </c>
      <c r="D8" s="7">
        <f>C8*'Grid Power'!K20</f>
        <v>1104.9284834758062</v>
      </c>
      <c r="E8" s="8">
        <f>D8/(1+Constants!$D$20)^B8</f>
        <v>1041.1987880564473</v>
      </c>
    </row>
    <row r="9" spans="2:13">
      <c r="B9">
        <v>4</v>
      </c>
      <c r="C9" s="10">
        <f>SUM(Consumption!$D$9:$D$20)</f>
        <v>8300.0400000000009</v>
      </c>
      <c r="D9" s="7">
        <f>C9*'Grid Power'!K21</f>
        <v>1155.3504433462585</v>
      </c>
      <c r="E9" s="8">
        <f>D9/(1+Constants!$D$20)^B9</f>
        <v>1067.3652225431463</v>
      </c>
      <c r="G9" s="78" t="s">
        <v>181</v>
      </c>
      <c r="H9" s="78"/>
    </row>
    <row r="10" spans="2:13">
      <c r="B10" s="63">
        <v>5</v>
      </c>
      <c r="C10" s="64">
        <f>SUM(Consumption!$D$9:$D$20)</f>
        <v>8300.0400000000009</v>
      </c>
      <c r="D10" s="65">
        <f>C10*'Grid Power'!K22</f>
        <v>1208.213476528794</v>
      </c>
      <c r="E10" s="68">
        <f>D10/(1+Constants!$D$20)^B10</f>
        <v>1094.3161705438426</v>
      </c>
      <c r="G10" s="17" t="s">
        <v>188</v>
      </c>
      <c r="H10" s="17" t="s">
        <v>178</v>
      </c>
    </row>
    <row r="11" spans="2:13">
      <c r="B11">
        <v>6</v>
      </c>
      <c r="C11" s="10">
        <f>SUM(Consumption!$D$9:$D$20)</f>
        <v>8300.0400000000009</v>
      </c>
      <c r="D11" s="7">
        <f>C11*'Grid Power'!K23</f>
        <v>1263.6392079362199</v>
      </c>
      <c r="E11" s="8">
        <f>D11/(1+Constants!$D$20)^B11</f>
        <v>1122.07545405579</v>
      </c>
      <c r="G11" t="s">
        <v>64</v>
      </c>
      <c r="H11" s="2">
        <f>PMT(Constants!$D$21,5,-'Analysis (Nothing)'!I5)</f>
        <v>1040.4364314340303</v>
      </c>
    </row>
    <row r="12" spans="2:13">
      <c r="B12">
        <v>7</v>
      </c>
      <c r="C12" s="10">
        <f>SUM(Consumption!$D$9:$D$20)</f>
        <v>8300.0400000000009</v>
      </c>
      <c r="D12" s="7">
        <f>C12*'Grid Power'!K24</f>
        <v>1321.7554022157228</v>
      </c>
      <c r="E12" s="8">
        <f>D12/(1+Constants!$D$20)^B12</f>
        <v>1150.6676190368253</v>
      </c>
      <c r="G12" t="s">
        <v>65</v>
      </c>
      <c r="H12" s="2">
        <f>PMT(Constants!$D$21,20,-'Analysis (Nothing)'!I6)</f>
        <v>1242.0394141488248</v>
      </c>
    </row>
    <row r="13" spans="2:13">
      <c r="B13">
        <v>8</v>
      </c>
      <c r="C13" s="10">
        <f>SUM(Consumption!$D$9:$D$20)</f>
        <v>8300.0400000000009</v>
      </c>
      <c r="D13" s="7">
        <f>C13*'Grid Power'!K25</f>
        <v>1382.6962754863248</v>
      </c>
      <c r="E13" s="8">
        <f>D13/(1+Constants!$D$20)^B13</f>
        <v>1180.1179574080081</v>
      </c>
      <c r="G13" s="61" t="s">
        <v>66</v>
      </c>
      <c r="H13" s="69">
        <f>PMT(Constants!$D$21,40,-'Analysis (Nothing)'!I7)</f>
        <v>1550.7049066602067</v>
      </c>
    </row>
    <row r="14" spans="2:13">
      <c r="B14">
        <v>9</v>
      </c>
      <c r="C14" s="10">
        <f>SUM(Consumption!$D$9:$D$20)</f>
        <v>8300.0400000000009</v>
      </c>
      <c r="D14" s="7">
        <f>C14*'Grid Power'!K26</f>
        <v>1446.602822944395</v>
      </c>
      <c r="E14" s="8">
        <f>D14/(1+Constants!$D$20)^B14</f>
        <v>1210.4525297249754</v>
      </c>
      <c r="G14" s="2"/>
    </row>
    <row r="15" spans="2:13">
      <c r="B15">
        <v>10</v>
      </c>
      <c r="C15" s="10">
        <f>SUM(Consumption!$D$9:$D$20)</f>
        <v>8300.0400000000009</v>
      </c>
      <c r="D15" s="7">
        <f>C15*'Grid Power'!K27</f>
        <v>1513.6231631458083</v>
      </c>
      <c r="E15" s="8">
        <f>D15/(1+Constants!$D$20)^B15</f>
        <v>1241.6981885383186</v>
      </c>
      <c r="G15" s="59"/>
    </row>
    <row r="16" spans="2:13">
      <c r="B16">
        <v>11</v>
      </c>
      <c r="C16" s="10">
        <f>SUM(Consumption!$D$9:$D$20)</f>
        <v>8300.0400000000009</v>
      </c>
      <c r="D16" s="7">
        <f>C16*'Grid Power'!K28</f>
        <v>1583.9128998145811</v>
      </c>
      <c r="E16" s="8">
        <f>D16/(1+Constants!$D$20)^B16</f>
        <v>1273.8826024639402</v>
      </c>
      <c r="G16" s="2"/>
    </row>
    <row r="17" spans="2:5">
      <c r="B17">
        <v>12</v>
      </c>
      <c r="C17" s="10">
        <f>SUM(Consumption!$D$9:$D$20)</f>
        <v>8300.0400000000009</v>
      </c>
      <c r="D17" s="7">
        <f>C17*'Grid Power'!K29</f>
        <v>1657.6355020711253</v>
      </c>
      <c r="E17" s="8">
        <f>D17/(1+Constants!$D$20)^B17</f>
        <v>1307.0342809849549</v>
      </c>
    </row>
    <row r="18" spans="2:5">
      <c r="B18">
        <v>13</v>
      </c>
      <c r="C18" s="10">
        <f>SUM(Consumption!$D$9:$D$20)</f>
        <v>8300.0400000000009</v>
      </c>
      <c r="D18" s="7">
        <f>C18*'Grid Power'!K30</f>
        <v>1734.962704018805</v>
      </c>
      <c r="E18" s="8">
        <f>D18/(1+Constants!$D$20)^B18</f>
        <v>1341.1826000073775</v>
      </c>
    </row>
    <row r="19" spans="2:5">
      <c r="B19">
        <v>14</v>
      </c>
      <c r="C19" s="10">
        <f>SUM(Consumption!$D$9:$D$20)</f>
        <v>8300.0400000000009</v>
      </c>
      <c r="D19" s="7">
        <f>C19*'Grid Power'!K31</f>
        <v>1816.0749246753412</v>
      </c>
      <c r="E19" s="8">
        <f>D19/(1+Constants!$D$20)^B19</f>
        <v>1376.3578281925002</v>
      </c>
    </row>
    <row r="20" spans="2:5">
      <c r="B20">
        <v>15</v>
      </c>
      <c r="C20" s="10">
        <f>SUM(Consumption!$D$9:$D$20)</f>
        <v>8300.0400000000009</v>
      </c>
      <c r="D20" s="7">
        <f>C20*'Grid Power'!K32</f>
        <v>1901.161709285896</v>
      </c>
      <c r="E20" s="8">
        <f>D20/(1+Constants!$D$20)^B20</f>
        <v>1412.5911540895718</v>
      </c>
    </row>
    <row r="21" spans="2:5">
      <c r="B21">
        <v>16</v>
      </c>
      <c r="C21" s="10">
        <f>SUM(Consumption!$D$9:$D$20)</f>
        <v>8300.0400000000009</v>
      </c>
      <c r="D21" s="7">
        <f>C21*'Grid Power'!K33</f>
        <v>1990.4221931075349</v>
      </c>
      <c r="E21" s="8">
        <f>D21/(1+Constants!$D$20)^B21</f>
        <v>1449.9147140930893</v>
      </c>
    </row>
    <row r="22" spans="2:5">
      <c r="B22">
        <v>17</v>
      </c>
      <c r="C22" s="10">
        <f>SUM(Consumption!$D$9:$D$20)</f>
        <v>8300.0400000000009</v>
      </c>
      <c r="D22" s="7">
        <f>C22*'Grid Power'!K34</f>
        <v>2084.0655888103352</v>
      </c>
      <c r="E22" s="8">
        <f>D22/(1+Constants!$D$20)^B22</f>
        <v>1488.3616212497839</v>
      </c>
    </row>
    <row r="23" spans="2:5">
      <c r="B23">
        <v>18</v>
      </c>
      <c r="C23" s="10">
        <f>SUM(Consumption!$D$9:$D$20)</f>
        <v>8300.0400000000009</v>
      </c>
      <c r="D23" s="7">
        <f>C23*'Grid Power'!K35</f>
        <v>2182.3116986987729</v>
      </c>
      <c r="E23" s="8">
        <f>D23/(1+Constants!$D$20)^B23</f>
        <v>1527.9659949411005</v>
      </c>
    </row>
    <row r="24" spans="2:5">
      <c r="B24">
        <v>19</v>
      </c>
      <c r="C24" s="10">
        <f>SUM(Consumption!$D$9:$D$20)</f>
        <v>8300.0400000000009</v>
      </c>
      <c r="D24" s="7">
        <f>C24*'Grid Power'!K36</f>
        <v>2285.3914530184215</v>
      </c>
      <c r="E24" s="8">
        <f>D24/(1+Constants!$D$20)^B24</f>
        <v>1568.7629914677998</v>
      </c>
    </row>
    <row r="25" spans="2:5">
      <c r="B25" s="63">
        <v>20</v>
      </c>
      <c r="C25" s="64">
        <f>SUM(Consumption!$D$9:$D$20)</f>
        <v>8300.0400000000009</v>
      </c>
      <c r="D25" s="65">
        <f>C25*'Grid Power'!K37</f>
        <v>2393.5474756774643</v>
      </c>
      <c r="E25" s="68">
        <f>D25/(1+Constants!$D$20)^B25</f>
        <v>1610.7888355640896</v>
      </c>
    </row>
    <row r="26" spans="2:5">
      <c r="B26">
        <v>21</v>
      </c>
      <c r="C26" s="10">
        <f>SUM(Consumption!$D$9:$D$20)</f>
        <v>8300.0400000000009</v>
      </c>
      <c r="D26" s="7">
        <f>C26*'Grid Power'!K38</f>
        <v>2507.034678780331</v>
      </c>
      <c r="E26" s="8">
        <f>D26/(1+Constants!$D$20)^B26</f>
        <v>1654.08085286954</v>
      </c>
    </row>
    <row r="27" spans="2:5">
      <c r="B27">
        <v>22</v>
      </c>
      <c r="C27" s="10">
        <f>SUM(Consumption!$D$9:$D$20)</f>
        <v>8300.0400000000009</v>
      </c>
      <c r="D27" s="7">
        <f>C27*'Grid Power'!K39</f>
        <v>2626.1208874419963</v>
      </c>
      <c r="E27" s="8">
        <f>D27/(1+Constants!$D$20)^B27</f>
        <v>1698.6775033878853</v>
      </c>
    </row>
    <row r="28" spans="2:5">
      <c r="B28">
        <v>23</v>
      </c>
      <c r="C28" s="10">
        <f>SUM(Consumption!$D$9:$D$20)</f>
        <v>8300.0400000000009</v>
      </c>
      <c r="D28" s="7">
        <f>C28*'Grid Power'!K40</f>
        <v>2751.0874964263717</v>
      </c>
      <c r="E28" s="8">
        <f>D28/(1+Constants!$D$20)^B28</f>
        <v>1744.6184159627187</v>
      </c>
    </row>
    <row r="29" spans="2:5">
      <c r="B29">
        <v>24</v>
      </c>
      <c r="C29" s="10">
        <f>SUM(Consumption!$D$9:$D$20)</f>
        <v>8300.0400000000009</v>
      </c>
      <c r="D29" s="7">
        <f>C29*'Grid Power'!K41</f>
        <v>2882.2301602308967</v>
      </c>
      <c r="E29" s="8">
        <f>D29/(1+Constants!$D$20)^B29</f>
        <v>1791.9444238009685</v>
      </c>
    </row>
    <row r="30" spans="2:5">
      <c r="B30">
        <v>25</v>
      </c>
      <c r="C30" s="10">
        <f>SUM(Consumption!$D$9:$D$20)</f>
        <v>8300.0400000000009</v>
      </c>
      <c r="D30" s="7">
        <f>C30*'Grid Power'!K42</f>
        <v>3019.8595183221614</v>
      </c>
      <c r="E30" s="8">
        <f>D30/(1+Constants!$D$20)^B30</f>
        <v>1840.6976010760172</v>
      </c>
    </row>
    <row r="31" spans="2:5">
      <c r="B31">
        <v>26</v>
      </c>
      <c r="C31" s="10">
        <f>SUM(Consumption!$D$9:$D$20)</f>
        <v>8300.0400000000009</v>
      </c>
      <c r="D31" s="7">
        <f>C31*'Grid Power'!K43</f>
        <v>3164.3019573143101</v>
      </c>
      <c r="E31" s="8">
        <f>D31/(1+Constants!$D$20)^B31</f>
        <v>1890.9213006432642</v>
      </c>
    </row>
    <row r="32" spans="2:5">
      <c r="B32">
        <v>27</v>
      </c>
      <c r="C32" s="10">
        <f>SUM(Consumption!$D$9:$D$20)</f>
        <v>8300.0400000000009</v>
      </c>
      <c r="D32" s="7">
        <f>C32*'Grid Power'!K44</f>
        <v>3315.9004119733277</v>
      </c>
      <c r="E32" s="8">
        <f>D32/(1+Constants!$D$20)^B32</f>
        <v>1942.6601929019441</v>
      </c>
    </row>
    <row r="33" spans="2:5">
      <c r="B33">
        <v>28</v>
      </c>
      <c r="C33" s="10">
        <f>SUM(Consumption!$D$9:$D$20)</f>
        <v>8300.0400000000009</v>
      </c>
      <c r="D33" s="7">
        <f>C33*'Grid Power'!K45</f>
        <v>3475.0152070263471</v>
      </c>
      <c r="E33" s="8">
        <f>D33/(1+Constants!$D$20)^B33</f>
        <v>1995.9603058380428</v>
      </c>
    </row>
    <row r="34" spans="2:5">
      <c r="B34">
        <v>29</v>
      </c>
      <c r="C34" s="10">
        <f>SUM(Consumption!$D$9:$D$20)</f>
        <v>8300.0400000000009</v>
      </c>
      <c r="D34" s="7">
        <f>C34*'Grid Power'!K46</f>
        <v>3642.0249418560024</v>
      </c>
      <c r="E34" s="8">
        <f>D34/(1+Constants!$D$20)^B34</f>
        <v>2050.869066284205</v>
      </c>
    </row>
    <row r="35" spans="2:5">
      <c r="B35">
        <v>30</v>
      </c>
      <c r="C35" s="10">
        <f>SUM(Consumption!$D$9:$D$20)</f>
        <v>8300.0400000000009</v>
      </c>
      <c r="D35" s="7">
        <f>C35*'Grid Power'!K47</f>
        <v>3817.3274202659391</v>
      </c>
      <c r="E35" s="8">
        <f>D35/(1+Constants!$D$20)^B35</f>
        <v>2107.4353424336114</v>
      </c>
    </row>
    <row r="36" spans="2:5">
      <c r="B36">
        <v>31</v>
      </c>
      <c r="C36" s="10">
        <f>SUM(Consumption!$D$9:$D$20)</f>
        <v>8300.0400000000009</v>
      </c>
      <c r="D36" s="7">
        <f>C36*'Grid Power'!K48</f>
        <v>4001.3406276150395</v>
      </c>
      <c r="E36" s="8">
        <f>D36/(1+Constants!$D$20)^B36</f>
        <v>2165.7094876459555</v>
      </c>
    </row>
    <row r="37" spans="2:5">
      <c r="B37">
        <v>32</v>
      </c>
      <c r="C37" s="10">
        <f>SUM(Consumption!$D$9:$D$20)</f>
        <v>8300.0400000000009</v>
      </c>
      <c r="D37" s="7">
        <f>C37*'Grid Power'!K49</f>
        <v>4194.5037577350849</v>
      </c>
      <c r="E37" s="8">
        <f>D37/(1+Constants!$D$20)^B37</f>
        <v>2225.7433855847653</v>
      </c>
    </row>
    <row r="38" spans="2:5">
      <c r="B38">
        <v>33</v>
      </c>
      <c r="C38" s="10">
        <f>SUM(Consumption!$D$9:$D$20)</f>
        <v>8300.0400000000009</v>
      </c>
      <c r="D38" s="7">
        <f>C38*'Grid Power'!K50</f>
        <v>4397.2782921697099</v>
      </c>
      <c r="E38" s="8">
        <f>D38/(1+Constants!$D$20)^B38</f>
        <v>2287.5904967265615</v>
      </c>
    </row>
    <row r="39" spans="2:5">
      <c r="B39">
        <v>34</v>
      </c>
      <c r="C39" s="10">
        <f>SUM(Consumption!$D$9:$D$20)</f>
        <v>8300.0400000000009</v>
      </c>
      <c r="D39" s="7">
        <f>C39*'Grid Power'!K51</f>
        <v>4610.1491344018832</v>
      </c>
      <c r="E39" s="8">
        <f>D39/(1+Constants!$D$20)^B39</f>
        <v>2351.3059062835123</v>
      </c>
    </row>
    <row r="40" spans="2:5">
      <c r="B40">
        <v>35</v>
      </c>
      <c r="C40" s="10">
        <f>SUM(Consumption!$D$9:$D$20)</f>
        <v>8300.0400000000009</v>
      </c>
      <c r="D40" s="7">
        <f>C40*'Grid Power'!K52</f>
        <v>4833.6258018731905</v>
      </c>
      <c r="E40" s="8">
        <f>D40/(1+Constants!$D$20)^B40</f>
        <v>2416.9463735825711</v>
      </c>
    </row>
    <row r="41" spans="2:5">
      <c r="B41">
        <v>36</v>
      </c>
      <c r="C41" s="10">
        <f>SUM(Consumption!$D$9:$D$20)</f>
        <v>8300.0400000000009</v>
      </c>
      <c r="D41" s="7">
        <f>C41*'Grid Power'!K53</f>
        <v>5068.2436787411061</v>
      </c>
      <c r="E41" s="8">
        <f>D41/(1+Constants!$D$20)^B41</f>
        <v>2484.5703829453537</v>
      </c>
    </row>
    <row r="42" spans="2:5">
      <c r="B42">
        <v>37</v>
      </c>
      <c r="C42" s="10">
        <f>SUM(Consumption!$D$9:$D$20)</f>
        <v>8300.0400000000009</v>
      </c>
      <c r="D42" s="7">
        <f>C42*'Grid Power'!K54</f>
        <v>5314.5653324706764</v>
      </c>
      <c r="E42" s="8">
        <f>D42/(1+Constants!$D$20)^B42</f>
        <v>2554.2381961143528</v>
      </c>
    </row>
    <row r="43" spans="2:5">
      <c r="B43">
        <v>38</v>
      </c>
      <c r="C43" s="10">
        <f>SUM(Consumption!$D$9:$D$20)</f>
        <v>8300.0400000000009</v>
      </c>
      <c r="D43" s="7">
        <f>C43*'Grid Power'!K55</f>
        <v>5573.1818975149581</v>
      </c>
      <c r="E43" s="8">
        <f>D43/(1+Constants!$D$20)^B43</f>
        <v>2626.0119062725157</v>
      </c>
    </row>
    <row r="44" spans="2:5">
      <c r="B44">
        <v>39</v>
      </c>
      <c r="C44" s="10">
        <f>SUM(Consumption!$D$9:$D$20)</f>
        <v>8300.0400000000009</v>
      </c>
      <c r="D44" s="7">
        <f>C44*'Grid Power'!K56</f>
        <v>5844.7145295044402</v>
      </c>
      <c r="E44" s="8">
        <f>D44/(1+Constants!$D$20)^B44</f>
        <v>2699.9554937045791</v>
      </c>
    </row>
    <row r="45" spans="2:5">
      <c r="B45" s="63">
        <v>40</v>
      </c>
      <c r="C45" s="64">
        <f>SUM(Consumption!$D$9:$D$20)</f>
        <v>8300.0400000000009</v>
      </c>
      <c r="D45" s="65">
        <f>C45*'Grid Power'!K57</f>
        <v>6129.8159335401424</v>
      </c>
      <c r="E45" s="68">
        <f>D45/(1+Constants!$D$20)^B45</f>
        <v>2776.1348831500727</v>
      </c>
    </row>
  </sheetData>
  <mergeCells count="2">
    <mergeCell ref="B3:B4"/>
    <mergeCell ref="G9:H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sheetPr>
    <tabColor rgb="FF00B050"/>
  </sheetPr>
  <dimension ref="B2:AH130"/>
  <sheetViews>
    <sheetView showGridLines="0" topLeftCell="B1" zoomScaleNormal="120" workbookViewId="0">
      <selection activeCell="I90" sqref="I90"/>
    </sheetView>
  </sheetViews>
  <sheetFormatPr baseColWidth="10" defaultColWidth="8.83203125" defaultRowHeight="17"/>
  <cols>
    <col min="1" max="1" width="8.83203125" style="104"/>
    <col min="2" max="2" width="14.33203125" style="104" bestFit="1" customWidth="1"/>
    <col min="3" max="3" width="7.6640625" style="104" bestFit="1" customWidth="1"/>
    <col min="4" max="4" width="5.33203125" style="104" bestFit="1" customWidth="1"/>
    <col min="5" max="5" width="8.83203125" style="104"/>
    <col min="6" max="6" width="9" style="104" bestFit="1" customWidth="1"/>
    <col min="7" max="7" width="9.83203125" style="104" bestFit="1" customWidth="1"/>
    <col min="8" max="8" width="6.6640625" style="104" bestFit="1" customWidth="1"/>
    <col min="9" max="9" width="11.5" style="104" bestFit="1" customWidth="1"/>
    <col min="10" max="10" width="11.33203125" style="104" bestFit="1" customWidth="1"/>
    <col min="11" max="11" width="11.6640625" style="104" bestFit="1" customWidth="1"/>
    <col min="12" max="12" width="13.83203125" style="104" bestFit="1" customWidth="1"/>
    <col min="13" max="13" width="13.1640625" style="104" bestFit="1" customWidth="1"/>
    <col min="14" max="15" width="9" style="104" bestFit="1" customWidth="1"/>
    <col min="16" max="16" width="9" style="104" customWidth="1"/>
    <col min="17" max="17" width="10.6640625" style="104" bestFit="1" customWidth="1"/>
    <col min="18" max="18" width="15.83203125" style="104" bestFit="1" customWidth="1"/>
    <col min="19" max="19" width="12" style="104" bestFit="1" customWidth="1"/>
    <col min="20" max="20" width="8.6640625" style="104" bestFit="1" customWidth="1"/>
    <col min="21" max="21" width="10.1640625" style="104" bestFit="1" customWidth="1"/>
    <col min="22" max="22" width="15.5" style="104" bestFit="1" customWidth="1"/>
    <col min="23" max="23" width="7.6640625" style="104" bestFit="1" customWidth="1"/>
    <col min="24" max="24" width="10.6640625" style="104" bestFit="1" customWidth="1"/>
    <col min="25" max="25" width="11.5" style="104" bestFit="1" customWidth="1"/>
    <col min="26" max="26" width="2.83203125" style="104" customWidth="1"/>
    <col min="27" max="27" width="12.5" style="104" bestFit="1" customWidth="1"/>
    <col min="28" max="28" width="20" style="104" bestFit="1" customWidth="1"/>
    <col min="29" max="29" width="7.5" style="104" bestFit="1" customWidth="1"/>
    <col min="30" max="16384" width="8.83203125" style="104"/>
  </cols>
  <sheetData>
    <row r="2" spans="2:34" ht="129">
      <c r="B2" s="103" t="s">
        <v>234</v>
      </c>
    </row>
    <row r="3" spans="2:34">
      <c r="B3" s="120" t="s">
        <v>150</v>
      </c>
      <c r="C3" s="120"/>
      <c r="D3" s="120"/>
      <c r="F3" s="120" t="s">
        <v>201</v>
      </c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</row>
    <row r="4" spans="2:34">
      <c r="B4" s="127" t="s">
        <v>94</v>
      </c>
      <c r="C4" s="120" t="s">
        <v>151</v>
      </c>
      <c r="D4" s="120"/>
      <c r="F4" s="120" t="s">
        <v>56</v>
      </c>
      <c r="G4" s="120" t="s">
        <v>116</v>
      </c>
      <c r="H4" s="120"/>
      <c r="I4" s="120"/>
      <c r="J4" s="168" t="s">
        <v>6</v>
      </c>
      <c r="K4" s="170"/>
      <c r="L4" s="170"/>
      <c r="M4" s="169"/>
      <c r="N4" s="168" t="s">
        <v>166</v>
      </c>
      <c r="O4" s="170"/>
      <c r="P4" s="169"/>
      <c r="Q4" s="120" t="s">
        <v>176</v>
      </c>
      <c r="R4" s="120"/>
      <c r="S4" s="120"/>
      <c r="T4" s="120"/>
      <c r="U4" s="120"/>
      <c r="V4" s="120"/>
      <c r="W4" s="120"/>
      <c r="X4" s="120" t="s">
        <v>197</v>
      </c>
      <c r="Y4" s="120"/>
      <c r="AA4" s="121" t="s">
        <v>194</v>
      </c>
      <c r="AB4" s="122">
        <f>IRR(X7:X12)</f>
        <v>-0.15745661508845477</v>
      </c>
    </row>
    <row r="5" spans="2:34">
      <c r="B5" s="132">
        <v>1</v>
      </c>
      <c r="C5" s="134">
        <f>Weather!I8*Configurations!$C$24*(1-Constants!$N$9)</f>
        <v>13212.508665947309</v>
      </c>
      <c r="D5" s="193" t="s">
        <v>152</v>
      </c>
      <c r="F5" s="120"/>
      <c r="G5" s="123" t="s">
        <v>153</v>
      </c>
      <c r="H5" s="124" t="s">
        <v>169</v>
      </c>
      <c r="I5" s="124" t="s">
        <v>170</v>
      </c>
      <c r="J5" s="124" t="s">
        <v>162</v>
      </c>
      <c r="K5" s="124" t="s">
        <v>139</v>
      </c>
      <c r="L5" s="124" t="s">
        <v>164</v>
      </c>
      <c r="M5" s="124" t="s">
        <v>232</v>
      </c>
      <c r="N5" s="124" t="s">
        <v>163</v>
      </c>
      <c r="O5" s="124" t="s">
        <v>165</v>
      </c>
      <c r="P5" s="124" t="s">
        <v>146</v>
      </c>
      <c r="Q5" s="124" t="s">
        <v>174</v>
      </c>
      <c r="R5" s="124" t="s">
        <v>177</v>
      </c>
      <c r="S5" s="124" t="s">
        <v>171</v>
      </c>
      <c r="T5" s="124" t="s">
        <v>8</v>
      </c>
      <c r="U5" s="124" t="s">
        <v>173</v>
      </c>
      <c r="V5" s="124" t="s">
        <v>172</v>
      </c>
      <c r="W5" s="124" t="s">
        <v>175</v>
      </c>
      <c r="X5" s="124" t="s">
        <v>196</v>
      </c>
      <c r="Y5" s="124" t="s">
        <v>196</v>
      </c>
      <c r="Z5" s="125"/>
      <c r="AA5" s="121" t="s">
        <v>195</v>
      </c>
      <c r="AB5" s="126">
        <f>IRR(Y7:Y12)</f>
        <v>-0.1739770736161308</v>
      </c>
    </row>
    <row r="6" spans="2:34">
      <c r="B6" s="132">
        <v>2</v>
      </c>
      <c r="C6" s="134">
        <f>Weather!I9*Configurations!$C$24*(1-Constants!$N$9)</f>
        <v>19988.420783894755</v>
      </c>
      <c r="D6" s="193" t="s">
        <v>152</v>
      </c>
      <c r="F6" s="120"/>
      <c r="G6" s="123"/>
      <c r="H6" s="124" t="s">
        <v>62</v>
      </c>
      <c r="I6" s="124" t="s">
        <v>62</v>
      </c>
      <c r="J6" s="124" t="s">
        <v>59</v>
      </c>
      <c r="K6" s="124" t="s">
        <v>59</v>
      </c>
      <c r="L6" s="177" t="s">
        <v>59</v>
      </c>
      <c r="M6" s="177" t="s">
        <v>59</v>
      </c>
      <c r="N6" s="124" t="s">
        <v>59</v>
      </c>
      <c r="O6" s="124" t="s">
        <v>59</v>
      </c>
      <c r="P6" s="124" t="s">
        <v>59</v>
      </c>
      <c r="Q6" s="177" t="s">
        <v>59</v>
      </c>
      <c r="R6" s="124" t="s">
        <v>59</v>
      </c>
      <c r="S6" s="124" t="s">
        <v>59</v>
      </c>
      <c r="T6" s="124" t="s">
        <v>59</v>
      </c>
      <c r="U6" s="124" t="s">
        <v>59</v>
      </c>
      <c r="V6" s="124" t="s">
        <v>59</v>
      </c>
      <c r="W6" s="124" t="s">
        <v>59</v>
      </c>
      <c r="X6" s="124" t="s">
        <v>59</v>
      </c>
      <c r="Y6" s="128" t="s">
        <v>178</v>
      </c>
      <c r="AA6" s="129" t="s">
        <v>198</v>
      </c>
      <c r="AB6" s="130">
        <f>NPV(Constants!$D$21,'Analysis (A)'!Y8:Y12)+'Analysis (A)'!Y7</f>
        <v>-998.4908727013011</v>
      </c>
    </row>
    <row r="7" spans="2:34">
      <c r="B7" s="132">
        <v>3</v>
      </c>
      <c r="C7" s="134">
        <f>Weather!I10*Configurations!$C$24*(1-Constants!$N$9)</f>
        <v>36330.438042651345</v>
      </c>
      <c r="D7" s="193" t="s">
        <v>152</v>
      </c>
      <c r="F7" s="208">
        <v>0</v>
      </c>
      <c r="G7" s="209">
        <v>1</v>
      </c>
      <c r="H7" s="210">
        <v>0</v>
      </c>
      <c r="I7" s="210">
        <v>0</v>
      </c>
      <c r="J7" s="211">
        <v>0</v>
      </c>
      <c r="K7" s="212">
        <f>Configurations!$C$18</f>
        <v>2037.9749999999999</v>
      </c>
      <c r="L7" s="136">
        <f>Configurations!$C$24*Constants!$D$63</f>
        <v>4</v>
      </c>
      <c r="M7" s="136">
        <v>0</v>
      </c>
      <c r="N7" s="212">
        <f>Configurations!$C$24*(Incentives!$C$5+Incentives!$C$6)</f>
        <v>360</v>
      </c>
      <c r="O7" s="212">
        <f>IF(H7&lt;I7,0,H7-I7)</f>
        <v>0</v>
      </c>
      <c r="P7" s="212">
        <v>0</v>
      </c>
      <c r="Q7" s="135">
        <f>N7+O7+P7-L7-K7-J7-M7</f>
        <v>-1681.9749999999999</v>
      </c>
      <c r="R7" s="211">
        <f>'Analysis (A)'!Q7+'Analysis (Nothing)'!D5</f>
        <v>-1681.9749999999999</v>
      </c>
      <c r="S7" s="211">
        <f>$K$7/2</f>
        <v>1018.9875</v>
      </c>
      <c r="T7" s="212">
        <v>0</v>
      </c>
      <c r="U7" s="211">
        <f>S7-T7</f>
        <v>1018.9875</v>
      </c>
      <c r="V7" s="212">
        <f>IF(R7&lt;0, 0,R7-T7)</f>
        <v>0</v>
      </c>
      <c r="W7" s="211">
        <f>V7*Constants!$D$23</f>
        <v>0</v>
      </c>
      <c r="X7" s="211">
        <f>R7-W7</f>
        <v>-1681.9749999999999</v>
      </c>
      <c r="Y7" s="213">
        <f>X7*(1+Constants!$D$20)^-F7</f>
        <v>-1681.9749999999999</v>
      </c>
      <c r="AA7" s="121" t="s">
        <v>199</v>
      </c>
      <c r="AB7" s="138">
        <f>PMT(Constants!$D$21,5,-'Analysis (A)'!AB6)</f>
        <v>-218.02504655607973</v>
      </c>
    </row>
    <row r="8" spans="2:34">
      <c r="B8" s="132">
        <v>4</v>
      </c>
      <c r="C8" s="134">
        <f>Weather!I11*Configurations!$C$24*(1-Constants!$N$9)</f>
        <v>62537.326290685734</v>
      </c>
      <c r="D8" s="193" t="s">
        <v>152</v>
      </c>
      <c r="F8" s="132">
        <v>1</v>
      </c>
      <c r="G8" s="139">
        <f>G7*(1-Constants!$D$11)</f>
        <v>0.995</v>
      </c>
      <c r="H8" s="134">
        <f>$C$17*(G8-Constants!$N$16)</f>
        <v>706.28393048473583</v>
      </c>
      <c r="I8" s="134">
        <f>Consumption!$C$2-'Analysis (A)'!H8</f>
        <v>7593.7160695152643</v>
      </c>
      <c r="J8" s="135">
        <f>I8*'Grid Power'!K18</f>
        <v>924.91950762010799</v>
      </c>
      <c r="K8" s="136">
        <v>0</v>
      </c>
      <c r="L8" s="136">
        <f>L7*(1+Constants!$D$20)</f>
        <v>4.08</v>
      </c>
      <c r="M8" s="136">
        <v>0</v>
      </c>
      <c r="N8" s="136">
        <v>0</v>
      </c>
      <c r="O8" s="136">
        <f t="shared" ref="O8:O11" si="0">IF(H8&lt;I8,0,H8-I8)</f>
        <v>0</v>
      </c>
      <c r="P8" s="136">
        <v>0</v>
      </c>
      <c r="Q8" s="135">
        <f t="shared" ref="Q8:Q12" si="1">N8+O8+P8-L8-K8-J8-M8</f>
        <v>-928.99950762010803</v>
      </c>
      <c r="R8" s="135">
        <f>'Analysis (A)'!Q8+'Analysis (Nothing)'!D6</f>
        <v>81.950709605652037</v>
      </c>
      <c r="S8" s="135">
        <f>$K$7/2</f>
        <v>1018.9875</v>
      </c>
      <c r="T8" s="135">
        <f>U7*Configurations!$G$6</f>
        <v>305.69624999999996</v>
      </c>
      <c r="U8" s="135">
        <f>U7+S8-T8</f>
        <v>1732.2787499999999</v>
      </c>
      <c r="V8" s="136">
        <f>IF(R8&lt;0, 0,IF(R8-T8&lt;0,0,R8-T8))</f>
        <v>0</v>
      </c>
      <c r="W8" s="135">
        <f>V8*Constants!$D$23</f>
        <v>0</v>
      </c>
      <c r="X8" s="135">
        <f>R8-W8</f>
        <v>81.950709605652037</v>
      </c>
      <c r="Y8" s="137">
        <f>X8*(1+Constants!$D$20)^-F8</f>
        <v>80.343832946717683</v>
      </c>
    </row>
    <row r="9" spans="2:34">
      <c r="B9" s="132">
        <v>5</v>
      </c>
      <c r="C9" s="134">
        <f>Weather!I12*Configurations!$C$24*(1-Constants!$N$9)</f>
        <v>92840.864038482381</v>
      </c>
      <c r="D9" s="193" t="s">
        <v>152</v>
      </c>
      <c r="F9" s="132">
        <v>2</v>
      </c>
      <c r="G9" s="139">
        <f>G8*(1-Constants!$D$11)</f>
        <v>0.99002500000000004</v>
      </c>
      <c r="H9" s="134">
        <f>$C$17*(G9-Constants!$N$16)</f>
        <v>702.68007145482659</v>
      </c>
      <c r="I9" s="134">
        <f>Consumption!$C$2-'Analysis (A)'!H9</f>
        <v>7597.3199285451738</v>
      </c>
      <c r="J9" s="135">
        <f>I9*'Grid Power'!K19</f>
        <v>967.35550792303843</v>
      </c>
      <c r="K9" s="136">
        <v>0</v>
      </c>
      <c r="L9" s="136">
        <f>L8*(1+Constants!$D$20)</f>
        <v>4.1616</v>
      </c>
      <c r="M9" s="136">
        <v>0</v>
      </c>
      <c r="N9" s="136">
        <v>0</v>
      </c>
      <c r="O9" s="136">
        <f t="shared" si="0"/>
        <v>0</v>
      </c>
      <c r="P9" s="136">
        <v>0</v>
      </c>
      <c r="Q9" s="135">
        <f t="shared" si="1"/>
        <v>-971.51710792303845</v>
      </c>
      <c r="R9" s="135">
        <f>'Analysis (A)'!Q9+'Analysis (Nothing)'!D7</f>
        <v>85.314707177190371</v>
      </c>
      <c r="S9" s="136">
        <f>IF(MOD(L9,5)=0,L9/2,0)</f>
        <v>0</v>
      </c>
      <c r="T9" s="135">
        <f>U8*Configurations!$G$6</f>
        <v>519.68362500000001</v>
      </c>
      <c r="U9" s="135">
        <f>U8+S9-T9</f>
        <v>1212.5951249999998</v>
      </c>
      <c r="V9" s="136">
        <f t="shared" ref="V9:V12" si="2">IF(R9&lt;0, 0,IF(R9-T9&lt;0,0,R9-T9))</f>
        <v>0</v>
      </c>
      <c r="W9" s="135">
        <f>V9*Constants!$D$23</f>
        <v>0</v>
      </c>
      <c r="X9" s="135">
        <f>R9-W9</f>
        <v>85.314707177190371</v>
      </c>
      <c r="Y9" s="137">
        <f>X9*(1+Constants!$D$20)^-F9</f>
        <v>82.001833119175672</v>
      </c>
      <c r="AH9" s="118"/>
    </row>
    <row r="10" spans="2:34">
      <c r="B10" s="132">
        <v>6</v>
      </c>
      <c r="C10" s="134">
        <f>Weather!I13*Configurations!$C$24*(1-Constants!$N$9)</f>
        <v>115697.25483760801</v>
      </c>
      <c r="D10" s="193" t="s">
        <v>152</v>
      </c>
      <c r="F10" s="132">
        <v>3</v>
      </c>
      <c r="G10" s="139">
        <f>G9*(1-Constants!$D$11)</f>
        <v>0.98507487500000002</v>
      </c>
      <c r="H10" s="134">
        <f>$C$17*(G10-Constants!$N$16)</f>
        <v>699.09423172006677</v>
      </c>
      <c r="I10" s="134">
        <f>Consumption!$C$2-'Analysis (A)'!H10</f>
        <v>7600.905768279933</v>
      </c>
      <c r="J10" s="135">
        <f>I10*'Grid Power'!K20</f>
        <v>1011.857446902431</v>
      </c>
      <c r="K10" s="136">
        <v>0</v>
      </c>
      <c r="L10" s="136">
        <f>L9*(1+Constants!$D$20)</f>
        <v>4.2448319999999997</v>
      </c>
      <c r="M10" s="136">
        <v>0</v>
      </c>
      <c r="N10" s="136">
        <v>0</v>
      </c>
      <c r="O10" s="136">
        <f t="shared" si="0"/>
        <v>0</v>
      </c>
      <c r="P10" s="136">
        <v>0</v>
      </c>
      <c r="Q10" s="135">
        <f t="shared" si="1"/>
        <v>-1016.102278902431</v>
      </c>
      <c r="R10" s="135">
        <f>'Analysis (A)'!Q10+'Analysis (Nothing)'!D8</f>
        <v>88.826204573375207</v>
      </c>
      <c r="S10" s="136">
        <f t="shared" ref="S10:S11" si="3">IF(MOD(L10,5)=0,L10/2,0)</f>
        <v>0</v>
      </c>
      <c r="T10" s="135">
        <f>U9*Configurations!$G$6</f>
        <v>363.77853749999991</v>
      </c>
      <c r="U10" s="135">
        <f>U9+S10-T10</f>
        <v>848.81658749999997</v>
      </c>
      <c r="V10" s="136">
        <f t="shared" si="2"/>
        <v>0</v>
      </c>
      <c r="W10" s="135">
        <f>V10*Constants!$D$23</f>
        <v>0</v>
      </c>
      <c r="X10" s="135">
        <f>R10-W10</f>
        <v>88.826204573375207</v>
      </c>
      <c r="Y10" s="137">
        <f>X10*(1+Constants!$D$20)^-F10</f>
        <v>83.702916462536294</v>
      </c>
      <c r="AH10" s="118"/>
    </row>
    <row r="11" spans="2:34">
      <c r="B11" s="132">
        <v>7</v>
      </c>
      <c r="C11" s="134">
        <f>Weather!I14*Configurations!$C$24*(1-Constants!$N$9)</f>
        <v>120301.3364943896</v>
      </c>
      <c r="D11" s="193" t="s">
        <v>152</v>
      </c>
      <c r="F11" s="132">
        <v>4</v>
      </c>
      <c r="G11" s="139">
        <f>G10*(1-Constants!$D$11)</f>
        <v>0.98014950062500006</v>
      </c>
      <c r="H11" s="134">
        <f>$C$17*(G11-Constants!$N$16)</f>
        <v>695.52632118398083</v>
      </c>
      <c r="I11" s="134">
        <f>Consumption!$C$2-'Analysis (A)'!H11</f>
        <v>7604.4736788160189</v>
      </c>
      <c r="J11" s="135">
        <f>I11*'Grid Power'!K21</f>
        <v>1058.5288789252872</v>
      </c>
      <c r="K11" s="136">
        <v>0</v>
      </c>
      <c r="L11" s="136">
        <f>L10*(1+Constants!$D$20)</f>
        <v>4.3297286399999999</v>
      </c>
      <c r="M11" s="136">
        <v>0</v>
      </c>
      <c r="N11" s="136">
        <v>0</v>
      </c>
      <c r="O11" s="136">
        <f t="shared" si="0"/>
        <v>0</v>
      </c>
      <c r="P11" s="136">
        <v>0</v>
      </c>
      <c r="Q11" s="135">
        <f t="shared" si="1"/>
        <v>-1062.8586075652872</v>
      </c>
      <c r="R11" s="135">
        <f>'Analysis (A)'!Q11+'Analysis (Nothing)'!D9</f>
        <v>92.491835780971314</v>
      </c>
      <c r="S11" s="136">
        <f t="shared" si="3"/>
        <v>0</v>
      </c>
      <c r="T11" s="135">
        <f>U10*Configurations!$G$6</f>
        <v>254.64497624999998</v>
      </c>
      <c r="U11" s="135">
        <f>U10+S11-T11</f>
        <v>594.17161124999996</v>
      </c>
      <c r="V11" s="136">
        <f t="shared" si="2"/>
        <v>0</v>
      </c>
      <c r="W11" s="135">
        <f>V11*Constants!$D$23</f>
        <v>0</v>
      </c>
      <c r="X11" s="135">
        <f>R11-W11</f>
        <v>92.491835780971314</v>
      </c>
      <c r="Y11" s="137">
        <f>X11*(1+Constants!$D$20)^-F11</f>
        <v>85.448159431045838</v>
      </c>
    </row>
    <row r="12" spans="2:34">
      <c r="B12" s="132">
        <v>8</v>
      </c>
      <c r="C12" s="134">
        <f>Weather!I15*Configurations!$C$24*(1-Constants!$N$9)</f>
        <v>104169.01692184545</v>
      </c>
      <c r="D12" s="193" t="s">
        <v>152</v>
      </c>
      <c r="F12" s="140">
        <v>5</v>
      </c>
      <c r="G12" s="141">
        <f>G11*(1-Constants!$D$11)</f>
        <v>0.97524875312187509</v>
      </c>
      <c r="H12" s="142">
        <f>$C$17*(G12-Constants!$N$16)</f>
        <v>691.97625020057535</v>
      </c>
      <c r="I12" s="142">
        <f>Consumption!$C$2-'Analysis (A)'!H12</f>
        <v>7608.0237497994249</v>
      </c>
      <c r="J12" s="143">
        <f>I12*'Grid Power'!K22</f>
        <v>1107.4786174836258</v>
      </c>
      <c r="K12" s="144">
        <v>0</v>
      </c>
      <c r="L12" s="136">
        <f>L11*(1+Constants!$D$20)</f>
        <v>4.4163232128000001</v>
      </c>
      <c r="M12" s="136">
        <v>0</v>
      </c>
      <c r="N12" s="144">
        <v>0</v>
      </c>
      <c r="O12" s="144">
        <v>0</v>
      </c>
      <c r="P12" s="144">
        <f>U12</f>
        <v>418.12828948139997</v>
      </c>
      <c r="Q12" s="135">
        <f t="shared" si="1"/>
        <v>-693.76665121502583</v>
      </c>
      <c r="R12" s="143">
        <f>'Analysis (A)'!Q12+'Analysis (Nothing)'!D10</f>
        <v>514.44682531376816</v>
      </c>
      <c r="S12" s="144">
        <f>IF(L12&lt;&gt;0,L12/2,IF(L11&lt;&gt;0,L11/2,0))</f>
        <v>2.2081616064</v>
      </c>
      <c r="T12" s="143">
        <f>U11*Configurations!$G$6</f>
        <v>178.25148337499999</v>
      </c>
      <c r="U12" s="143">
        <f>U11+S12-T12</f>
        <v>418.12828948139997</v>
      </c>
      <c r="V12" s="144">
        <f t="shared" si="2"/>
        <v>336.19534193876814</v>
      </c>
      <c r="W12" s="143">
        <f>V12*Constants!$D$23</f>
        <v>33.619534193876817</v>
      </c>
      <c r="X12" s="143">
        <f>R12-W12</f>
        <v>480.82729111989136</v>
      </c>
      <c r="Y12" s="145">
        <f>X12*(1+Constants!$D$20)^-F12</f>
        <v>435.50009177434396</v>
      </c>
    </row>
    <row r="13" spans="2:34">
      <c r="B13" s="132">
        <v>9</v>
      </c>
      <c r="C13" s="134">
        <f>Weather!I16*Configurations!$C$24*(1-Constants!$N$9)</f>
        <v>75044.791548822875</v>
      </c>
      <c r="D13" s="193" t="s">
        <v>152</v>
      </c>
    </row>
    <row r="14" spans="2:34">
      <c r="B14" s="132">
        <v>10</v>
      </c>
      <c r="C14" s="134">
        <f>Weather!I17*Configurations!$C$24*(1-Constants!$N$9)</f>
        <v>45413.047553314187</v>
      </c>
      <c r="D14" s="193" t="s">
        <v>152</v>
      </c>
      <c r="F14" s="120" t="s">
        <v>202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</row>
    <row r="15" spans="2:34">
      <c r="B15" s="132">
        <v>11</v>
      </c>
      <c r="C15" s="134">
        <f>Weather!I18*Configurations!$C$24*(1-Constants!$N$9)</f>
        <v>24466.389716211663</v>
      </c>
      <c r="D15" s="193" t="s">
        <v>152</v>
      </c>
      <c r="F15" s="120" t="s">
        <v>56</v>
      </c>
      <c r="G15" s="120" t="s">
        <v>116</v>
      </c>
      <c r="H15" s="120"/>
      <c r="I15" s="120"/>
      <c r="J15" s="168" t="s">
        <v>6</v>
      </c>
      <c r="K15" s="170"/>
      <c r="L15" s="170"/>
      <c r="M15" s="169"/>
      <c r="N15" s="168" t="s">
        <v>166</v>
      </c>
      <c r="O15" s="170"/>
      <c r="P15" s="169"/>
      <c r="Q15" s="120" t="s">
        <v>176</v>
      </c>
      <c r="R15" s="120"/>
      <c r="S15" s="120"/>
      <c r="T15" s="120"/>
      <c r="U15" s="120"/>
      <c r="V15" s="120"/>
      <c r="W15" s="120"/>
      <c r="X15" s="120" t="s">
        <v>197</v>
      </c>
      <c r="Y15" s="120"/>
      <c r="AA15" s="121" t="s">
        <v>194</v>
      </c>
      <c r="AB15" s="122">
        <f>IRR(X18:X38)</f>
        <v>-1.1144203255045504E-2</v>
      </c>
    </row>
    <row r="16" spans="2:34">
      <c r="B16" s="140">
        <v>12</v>
      </c>
      <c r="C16" s="142">
        <f>Weather!I19*Configurations!$C$24*(1-Constants!$N$9)</f>
        <v>14392.379962285839</v>
      </c>
      <c r="D16" s="194" t="s">
        <v>152</v>
      </c>
      <c r="F16" s="120"/>
      <c r="G16" s="123" t="s">
        <v>153</v>
      </c>
      <c r="H16" s="124" t="s">
        <v>169</v>
      </c>
      <c r="I16" s="124" t="s">
        <v>170</v>
      </c>
      <c r="J16" s="124" t="s">
        <v>162</v>
      </c>
      <c r="K16" s="124" t="s">
        <v>139</v>
      </c>
      <c r="L16" s="124" t="s">
        <v>164</v>
      </c>
      <c r="M16" s="124" t="s">
        <v>232</v>
      </c>
      <c r="N16" s="124" t="s">
        <v>163</v>
      </c>
      <c r="O16" s="124" t="s">
        <v>165</v>
      </c>
      <c r="P16" s="124" t="s">
        <v>146</v>
      </c>
      <c r="Q16" s="124" t="s">
        <v>174</v>
      </c>
      <c r="R16" s="124" t="s">
        <v>177</v>
      </c>
      <c r="S16" s="124" t="s">
        <v>171</v>
      </c>
      <c r="T16" s="124" t="s">
        <v>8</v>
      </c>
      <c r="U16" s="124" t="s">
        <v>173</v>
      </c>
      <c r="V16" s="124" t="s">
        <v>172</v>
      </c>
      <c r="W16" s="124" t="s">
        <v>175</v>
      </c>
      <c r="X16" s="124" t="s">
        <v>196</v>
      </c>
      <c r="Y16" s="124" t="s">
        <v>196</v>
      </c>
      <c r="AA16" s="121" t="s">
        <v>195</v>
      </c>
      <c r="AB16" s="126">
        <f>IRR(Y18:Y38)</f>
        <v>-3.0533532604556712E-2</v>
      </c>
    </row>
    <row r="17" spans="2:30">
      <c r="B17" s="195" t="s">
        <v>87</v>
      </c>
      <c r="C17" s="196">
        <f>SUM(C5:C16)/1000</f>
        <v>724.39377485613932</v>
      </c>
      <c r="D17" s="197" t="s">
        <v>108</v>
      </c>
      <c r="F17" s="120"/>
      <c r="G17" s="123"/>
      <c r="H17" s="124" t="s">
        <v>62</v>
      </c>
      <c r="I17" s="124" t="s">
        <v>62</v>
      </c>
      <c r="J17" s="124" t="s">
        <v>59</v>
      </c>
      <c r="K17" s="124" t="s">
        <v>59</v>
      </c>
      <c r="L17" s="124" t="s">
        <v>59</v>
      </c>
      <c r="M17" s="177" t="s">
        <v>59</v>
      </c>
      <c r="N17" s="124" t="s">
        <v>59</v>
      </c>
      <c r="O17" s="124" t="s">
        <v>59</v>
      </c>
      <c r="P17" s="124" t="s">
        <v>59</v>
      </c>
      <c r="Q17" s="124" t="s">
        <v>59</v>
      </c>
      <c r="R17" s="124" t="s">
        <v>59</v>
      </c>
      <c r="S17" s="124" t="s">
        <v>59</v>
      </c>
      <c r="T17" s="124" t="s">
        <v>59</v>
      </c>
      <c r="U17" s="124" t="s">
        <v>59</v>
      </c>
      <c r="V17" s="124" t="s">
        <v>59</v>
      </c>
      <c r="W17" s="124" t="s">
        <v>59</v>
      </c>
      <c r="X17" s="124" t="s">
        <v>59</v>
      </c>
      <c r="Y17" s="128" t="s">
        <v>178</v>
      </c>
      <c r="AA17" s="129" t="s">
        <v>198</v>
      </c>
      <c r="AB17" s="137">
        <f>NPV(Constants!$D$21,'Analysis (A)'!Y19:Y38)+'Analysis (A)'!Y18</f>
        <v>-860.17029360052004</v>
      </c>
    </row>
    <row r="18" spans="2:30">
      <c r="F18" s="132">
        <v>0</v>
      </c>
      <c r="G18" s="139">
        <v>1</v>
      </c>
      <c r="H18" s="134">
        <v>0</v>
      </c>
      <c r="I18" s="148">
        <v>0</v>
      </c>
      <c r="J18" s="149">
        <v>0</v>
      </c>
      <c r="K18" s="149">
        <f>Configurations!$C$18</f>
        <v>2037.9749999999999</v>
      </c>
      <c r="L18" s="136">
        <f>Configurations!$C$24*Constants!$D$63</f>
        <v>4</v>
      </c>
      <c r="M18" s="135">
        <v>0</v>
      </c>
      <c r="N18" s="149">
        <f>Configurations!$C$24*(Incentives!$C$5+Incentives!$C$6)</f>
        <v>360</v>
      </c>
      <c r="O18" s="149">
        <f>IF(H18&lt;I18,0,H18-I18)</f>
        <v>0</v>
      </c>
      <c r="P18" s="149">
        <v>0</v>
      </c>
      <c r="Q18" s="149">
        <f>N18+O18+P18-L18-K18-J18-M18</f>
        <v>-1681.9749999999999</v>
      </c>
      <c r="R18" s="149">
        <f>'Analysis (A)'!Q18+'Analysis (Nothing)'!D5</f>
        <v>-1681.9749999999999</v>
      </c>
      <c r="S18" s="149">
        <f>$K$7/2</f>
        <v>1018.9875</v>
      </c>
      <c r="T18" s="149">
        <v>0</v>
      </c>
      <c r="U18" s="149">
        <f>S18-T18</f>
        <v>1018.9875</v>
      </c>
      <c r="V18" s="149">
        <f>IF(R18&lt;0, 0,R18-T18)</f>
        <v>0</v>
      </c>
      <c r="W18" s="149">
        <f>V18*Constants!$D$23</f>
        <v>0</v>
      </c>
      <c r="X18" s="149">
        <f>R18-W18</f>
        <v>-1681.9749999999999</v>
      </c>
      <c r="Y18" s="150">
        <f>X18*(1+Constants!$D$20)^-F18</f>
        <v>-1681.9749999999999</v>
      </c>
      <c r="AA18" s="121" t="s">
        <v>199</v>
      </c>
      <c r="AB18" s="138">
        <f>PMT(Constants!$D$21,5,-'Analysis (A)'!AB17)</f>
        <v>-187.82211579064921</v>
      </c>
      <c r="AC18" s="151"/>
      <c r="AD18" s="131"/>
    </row>
    <row r="19" spans="2:30">
      <c r="F19" s="132">
        <v>1</v>
      </c>
      <c r="G19" s="139">
        <f>G18*(1-Constants!$D$11)</f>
        <v>0.995</v>
      </c>
      <c r="H19" s="134">
        <f>$C$17*(G19-Constants!$N$16)</f>
        <v>706.28393048473583</v>
      </c>
      <c r="I19" s="148">
        <f>Consumption!$C$2-'Analysis (A)'!H19</f>
        <v>7593.7160695152643</v>
      </c>
      <c r="J19" s="149">
        <f>I19*'Grid Power'!K18</f>
        <v>924.91950762010799</v>
      </c>
      <c r="K19" s="149">
        <v>0</v>
      </c>
      <c r="L19" s="136">
        <f>L18*(1+Constants!$D$20)</f>
        <v>4.08</v>
      </c>
      <c r="M19" s="135">
        <v>0</v>
      </c>
      <c r="N19" s="149">
        <v>0</v>
      </c>
      <c r="O19" s="149">
        <f>IF(H19&lt;I19,0,H19-I19)</f>
        <v>0</v>
      </c>
      <c r="P19" s="149">
        <v>0</v>
      </c>
      <c r="Q19" s="149">
        <f t="shared" ref="Q19:Q38" si="4">N19+O19+P19-L19-K19-J19-M19</f>
        <v>-928.99950762010803</v>
      </c>
      <c r="R19" s="149">
        <f>'Analysis (A)'!Q19+'Analysis (Nothing)'!D6</f>
        <v>81.950709605652037</v>
      </c>
      <c r="S19" s="149">
        <f>$K$7/2</f>
        <v>1018.9875</v>
      </c>
      <c r="T19" s="149">
        <f>U18*Configurations!$G$6</f>
        <v>305.69624999999996</v>
      </c>
      <c r="U19" s="149">
        <f>U18+S19-T19</f>
        <v>1732.2787499999999</v>
      </c>
      <c r="V19" s="149">
        <f>IF(R19&lt;0, 0,IF(R19-T19&lt;0,0,R19-T19))</f>
        <v>0</v>
      </c>
      <c r="W19" s="149">
        <f>V19*Constants!$D$23</f>
        <v>0</v>
      </c>
      <c r="X19" s="149">
        <f>R19-W19</f>
        <v>81.950709605652037</v>
      </c>
      <c r="Y19" s="150">
        <f>X19*(1+Constants!$D$20)^-F19</f>
        <v>80.343832946717683</v>
      </c>
      <c r="AC19" s="151"/>
      <c r="AD19" s="131"/>
    </row>
    <row r="20" spans="2:30">
      <c r="F20" s="132">
        <v>2</v>
      </c>
      <c r="G20" s="139">
        <f>G19*(1-Constants!$D$11)</f>
        <v>0.99002500000000004</v>
      </c>
      <c r="H20" s="134">
        <f>$C$17*(G20-Constants!$N$16)</f>
        <v>702.68007145482659</v>
      </c>
      <c r="I20" s="148">
        <f>Consumption!$C$2-'Analysis (A)'!H20</f>
        <v>7597.3199285451738</v>
      </c>
      <c r="J20" s="149">
        <f>I20*'Grid Power'!K19</f>
        <v>967.35550792303843</v>
      </c>
      <c r="K20" s="149">
        <v>0</v>
      </c>
      <c r="L20" s="136">
        <f>L19*(1+Constants!$D$20)</f>
        <v>4.1616</v>
      </c>
      <c r="M20" s="135">
        <v>0</v>
      </c>
      <c r="N20" s="149">
        <v>0</v>
      </c>
      <c r="O20" s="149">
        <f>IF(H20&lt;I20,0,H20-I20)</f>
        <v>0</v>
      </c>
      <c r="P20" s="149">
        <v>0</v>
      </c>
      <c r="Q20" s="149">
        <f t="shared" si="4"/>
        <v>-971.51710792303845</v>
      </c>
      <c r="R20" s="149">
        <f>'Analysis (A)'!Q20+'Analysis (Nothing)'!D7</f>
        <v>85.314707177190371</v>
      </c>
      <c r="S20" s="149">
        <f>IF(MOD(L20,5)=0,L20/2,0)</f>
        <v>0</v>
      </c>
      <c r="T20" s="149">
        <f>U19*Configurations!$G$6</f>
        <v>519.68362500000001</v>
      </c>
      <c r="U20" s="149">
        <f>U19+S20-T20</f>
        <v>1212.5951249999998</v>
      </c>
      <c r="V20" s="149">
        <f t="shared" ref="V20:V28" si="5">IF(R20&lt;0, 0,IF(R20-T20&lt;0,0,R20-T20))</f>
        <v>0</v>
      </c>
      <c r="W20" s="149">
        <f>V20*Constants!$D$23</f>
        <v>0</v>
      </c>
      <c r="X20" s="149">
        <f>R20-W20</f>
        <v>85.314707177190371</v>
      </c>
      <c r="Y20" s="150">
        <f>X20*(1+Constants!$D$20)^-F20</f>
        <v>82.001833119175672</v>
      </c>
      <c r="AA20" s="151"/>
      <c r="AC20" s="151"/>
      <c r="AD20" s="131"/>
    </row>
    <row r="21" spans="2:30">
      <c r="F21" s="132">
        <v>3</v>
      </c>
      <c r="G21" s="139">
        <f>G20*(1-Constants!$D$11)</f>
        <v>0.98507487500000002</v>
      </c>
      <c r="H21" s="134">
        <f>$C$17*(G21-Constants!$N$16)</f>
        <v>699.09423172006677</v>
      </c>
      <c r="I21" s="148">
        <f>Consumption!$C$2-'Analysis (A)'!H21</f>
        <v>7600.905768279933</v>
      </c>
      <c r="J21" s="149">
        <f>I21*'Grid Power'!K20</f>
        <v>1011.857446902431</v>
      </c>
      <c r="K21" s="149">
        <v>0</v>
      </c>
      <c r="L21" s="136">
        <f>L20*(1+Constants!$D$20)</f>
        <v>4.2448319999999997</v>
      </c>
      <c r="M21" s="135">
        <v>0</v>
      </c>
      <c r="N21" s="149">
        <v>0</v>
      </c>
      <c r="O21" s="149">
        <f>IF(H21&lt;I21,0,H21-I21)</f>
        <v>0</v>
      </c>
      <c r="P21" s="149">
        <v>0</v>
      </c>
      <c r="Q21" s="149">
        <f t="shared" si="4"/>
        <v>-1016.102278902431</v>
      </c>
      <c r="R21" s="149">
        <f>'Analysis (A)'!Q21+'Analysis (Nothing)'!D8</f>
        <v>88.826204573375207</v>
      </c>
      <c r="S21" s="149">
        <f t="shared" ref="S21:S22" si="6">IF(MOD(L21,5)=0,L21/2,0)</f>
        <v>0</v>
      </c>
      <c r="T21" s="149">
        <f>U20*Configurations!$G$6</f>
        <v>363.77853749999991</v>
      </c>
      <c r="U21" s="149">
        <f>U20+S21-T21</f>
        <v>848.81658749999997</v>
      </c>
      <c r="V21" s="149">
        <f t="shared" si="5"/>
        <v>0</v>
      </c>
      <c r="W21" s="149">
        <f>V21*Constants!$D$23</f>
        <v>0</v>
      </c>
      <c r="X21" s="149">
        <f>R21-W21</f>
        <v>88.826204573375207</v>
      </c>
      <c r="Y21" s="150">
        <f>X21*(1+Constants!$D$20)^-F21</f>
        <v>83.702916462536294</v>
      </c>
      <c r="AA21" s="151"/>
      <c r="AC21" s="151"/>
      <c r="AD21" s="131"/>
    </row>
    <row r="22" spans="2:30">
      <c r="F22" s="132">
        <v>4</v>
      </c>
      <c r="G22" s="139">
        <f>G21*(1-Constants!$D$11)</f>
        <v>0.98014950062500006</v>
      </c>
      <c r="H22" s="134">
        <f>$C$17*(G22-Constants!$N$16)</f>
        <v>695.52632118398083</v>
      </c>
      <c r="I22" s="148">
        <f>Consumption!$C$2-'Analysis (A)'!H22</f>
        <v>7604.4736788160189</v>
      </c>
      <c r="J22" s="149">
        <f>I22*'Grid Power'!K21</f>
        <v>1058.5288789252872</v>
      </c>
      <c r="K22" s="149">
        <v>0</v>
      </c>
      <c r="L22" s="136">
        <f>L21*(1+Constants!$D$20)</f>
        <v>4.3297286399999999</v>
      </c>
      <c r="M22" s="135">
        <v>0</v>
      </c>
      <c r="N22" s="149">
        <v>0</v>
      </c>
      <c r="O22" s="149">
        <f>IF(H22&lt;I22,0,H22-I22)</f>
        <v>0</v>
      </c>
      <c r="P22" s="149">
        <v>0</v>
      </c>
      <c r="Q22" s="149">
        <f t="shared" si="4"/>
        <v>-1062.8586075652872</v>
      </c>
      <c r="R22" s="149">
        <f>'Analysis (A)'!Q22+'Analysis (Nothing)'!D9</f>
        <v>92.491835780971314</v>
      </c>
      <c r="S22" s="149">
        <f t="shared" si="6"/>
        <v>0</v>
      </c>
      <c r="T22" s="149">
        <f>U21*Configurations!$G$6</f>
        <v>254.64497624999998</v>
      </c>
      <c r="U22" s="149">
        <f>U21+S22-T22</f>
        <v>594.17161124999996</v>
      </c>
      <c r="V22" s="149">
        <f t="shared" si="5"/>
        <v>0</v>
      </c>
      <c r="W22" s="149">
        <f>V22*Constants!$D$23</f>
        <v>0</v>
      </c>
      <c r="X22" s="149">
        <f>R22-W22</f>
        <v>92.491835780971314</v>
      </c>
      <c r="Y22" s="150">
        <f>X22*(1+Constants!$D$20)^-F22</f>
        <v>85.448159431045838</v>
      </c>
      <c r="AA22" s="151"/>
      <c r="AC22" s="151"/>
      <c r="AD22" s="131"/>
    </row>
    <row r="23" spans="2:30">
      <c r="F23" s="132">
        <v>5</v>
      </c>
      <c r="G23" s="139">
        <f>G22*(1-Constants!$D$11)</f>
        <v>0.97524875312187509</v>
      </c>
      <c r="H23" s="134">
        <f>$C$17*(G23-Constants!$N$16)</f>
        <v>691.97625020057535</v>
      </c>
      <c r="I23" s="148">
        <f>Consumption!$C$2-'Analysis (A)'!H23</f>
        <v>7608.0237497994249</v>
      </c>
      <c r="J23" s="149">
        <f>I23*'Grid Power'!K22</f>
        <v>1107.4786174836258</v>
      </c>
      <c r="K23" s="149">
        <v>0</v>
      </c>
      <c r="L23" s="136">
        <f>L22*(1+Constants!$D$20)</f>
        <v>4.4163232128000001</v>
      </c>
      <c r="M23" s="135">
        <v>0</v>
      </c>
      <c r="N23" s="149">
        <v>0</v>
      </c>
      <c r="O23" s="149">
        <v>0</v>
      </c>
      <c r="P23" s="149">
        <v>0</v>
      </c>
      <c r="Q23" s="149">
        <f t="shared" si="4"/>
        <v>-1111.8949406964259</v>
      </c>
      <c r="R23" s="149">
        <f>'Analysis (A)'!Q23+'Analysis (Nothing)'!D10</f>
        <v>96.31853583236807</v>
      </c>
      <c r="S23" s="149">
        <f>IF(L23&lt;&gt;0,L23/2,IF(L22&lt;&gt;0,L22/2,0))</f>
        <v>2.2081616064</v>
      </c>
      <c r="T23" s="149">
        <f>U22*Configurations!$G$6</f>
        <v>178.25148337499999</v>
      </c>
      <c r="U23" s="149">
        <f>U22+S23-T23</f>
        <v>418.12828948139997</v>
      </c>
      <c r="V23" s="149">
        <f t="shared" si="5"/>
        <v>0</v>
      </c>
      <c r="W23" s="149">
        <f>V23*Constants!$D$23</f>
        <v>0</v>
      </c>
      <c r="X23" s="149">
        <f>R23-W23</f>
        <v>96.31853583236807</v>
      </c>
      <c r="Y23" s="150">
        <f>X23*(1+Constants!$D$20)^-F23</f>
        <v>87.238665461082505</v>
      </c>
      <c r="AA23" s="151"/>
      <c r="AC23" s="151"/>
      <c r="AD23" s="131"/>
    </row>
    <row r="24" spans="2:30">
      <c r="F24" s="132">
        <v>6</v>
      </c>
      <c r="G24" s="139">
        <f>G23*(1-Constants!$D$11)</f>
        <v>0.97037250935626573</v>
      </c>
      <c r="H24" s="134">
        <f>$C$17*(G24-Constants!$N$16)</f>
        <v>688.44392957208686</v>
      </c>
      <c r="I24" s="148">
        <f>Consumption!$C$2-'Analysis (A)'!H24</f>
        <v>7611.5560704279133</v>
      </c>
      <c r="J24" s="149">
        <f>I24*'Grid Power'!K23</f>
        <v>1158.8210037539161</v>
      </c>
      <c r="K24" s="149">
        <v>0</v>
      </c>
      <c r="L24" s="136">
        <f>L23*(1+Constants!$D$20)</f>
        <v>4.5046496770560003</v>
      </c>
      <c r="M24" s="135">
        <v>0</v>
      </c>
      <c r="N24" s="149">
        <v>0</v>
      </c>
      <c r="O24" s="149">
        <f>IF(H24&lt;I24,0,H24-I24)</f>
        <v>0</v>
      </c>
      <c r="P24" s="149">
        <v>0</v>
      </c>
      <c r="Q24" s="149">
        <f t="shared" si="4"/>
        <v>-1163.3256534309721</v>
      </c>
      <c r="R24" s="149">
        <f>'Analysis (A)'!Q24+'Analysis (Nothing)'!D11</f>
        <v>100.31355450524779</v>
      </c>
      <c r="S24" s="149">
        <f t="shared" ref="S24:S38" si="7">IF(L24&lt;&gt;0,L24/2,IF(L23&lt;&gt;0,L23/2,0))</f>
        <v>2.2523248385280001</v>
      </c>
      <c r="T24" s="149">
        <f>U23*Configurations!$G$6</f>
        <v>125.43848684441998</v>
      </c>
      <c r="U24" s="149">
        <f>U23+S24-T24</f>
        <v>294.94212747550802</v>
      </c>
      <c r="V24" s="149">
        <f t="shared" si="5"/>
        <v>0</v>
      </c>
      <c r="W24" s="149">
        <f>V24*Constants!$D$23</f>
        <v>0</v>
      </c>
      <c r="X24" s="149">
        <f>R24-W24</f>
        <v>100.31355450524779</v>
      </c>
      <c r="Y24" s="150">
        <f>X24*(1+Constants!$D$20)^-F24</f>
        <v>89.075565646034789</v>
      </c>
    </row>
    <row r="25" spans="2:30">
      <c r="F25" s="132">
        <v>7</v>
      </c>
      <c r="G25" s="139">
        <f>G24*(1-Constants!$D$11)</f>
        <v>0.96552064680948435</v>
      </c>
      <c r="H25" s="134">
        <f>$C$17*(G25-Constants!$N$16)</f>
        <v>684.92927054674078</v>
      </c>
      <c r="I25" s="148">
        <f>Consumption!$C$2-'Analysis (A)'!H25</f>
        <v>7615.0707294532594</v>
      </c>
      <c r="J25" s="149">
        <f>I25*'Grid Power'!K24</f>
        <v>1212.6761888990497</v>
      </c>
      <c r="K25" s="149">
        <v>0</v>
      </c>
      <c r="L25" s="136">
        <f>L24*(1+Constants!$D$20)</f>
        <v>4.5947426705971202</v>
      </c>
      <c r="M25" s="135">
        <v>0</v>
      </c>
      <c r="N25" s="149">
        <v>0</v>
      </c>
      <c r="O25" s="149">
        <f>IF(H25&lt;I25,0,H25-I25)</f>
        <v>0</v>
      </c>
      <c r="P25" s="149">
        <v>0</v>
      </c>
      <c r="Q25" s="149">
        <f t="shared" si="4"/>
        <v>-1217.2709315696468</v>
      </c>
      <c r="R25" s="149">
        <f>'Analysis (A)'!Q25+'Analysis (Nothing)'!D12</f>
        <v>104.48447064607603</v>
      </c>
      <c r="S25" s="149">
        <f t="shared" si="7"/>
        <v>2.2973713352985601</v>
      </c>
      <c r="T25" s="149">
        <f>U24*Configurations!$G$6</f>
        <v>88.482638242652399</v>
      </c>
      <c r="U25" s="149">
        <f>U24+S25-T25</f>
        <v>208.7568605681542</v>
      </c>
      <c r="V25" s="149">
        <f t="shared" si="5"/>
        <v>16.001832403423634</v>
      </c>
      <c r="W25" s="149">
        <f>V25*Constants!$D$23</f>
        <v>1.6001832403423635</v>
      </c>
      <c r="X25" s="149">
        <f>R25-W25</f>
        <v>102.88428740573367</v>
      </c>
      <c r="Y25" s="150">
        <f>X25*(1+Constants!$D$20)^-F25</f>
        <v>89.566963620500758</v>
      </c>
    </row>
    <row r="26" spans="2:30">
      <c r="F26" s="132">
        <v>8</v>
      </c>
      <c r="G26" s="139">
        <f>G25*(1-Constants!$D$11)</f>
        <v>0.96069304357543694</v>
      </c>
      <c r="H26" s="134">
        <f>$C$17*(G26-Constants!$N$16)</f>
        <v>681.4321848165215</v>
      </c>
      <c r="I26" s="148">
        <f>Consumption!$C$2-'Analysis (A)'!H26</f>
        <v>7618.5678151834782</v>
      </c>
      <c r="J26" s="149">
        <f>I26*'Grid Power'!K25</f>
        <v>1269.1704308164997</v>
      </c>
      <c r="K26" s="149">
        <v>0</v>
      </c>
      <c r="L26" s="136">
        <f>L25*(1+Constants!$D$20)</f>
        <v>4.686637524009063</v>
      </c>
      <c r="M26" s="135">
        <v>0</v>
      </c>
      <c r="N26" s="149">
        <v>0</v>
      </c>
      <c r="O26" s="149">
        <f>IF(H26&lt;I26,0,H26-I26)</f>
        <v>0</v>
      </c>
      <c r="P26" s="149">
        <v>0</v>
      </c>
      <c r="Q26" s="149">
        <f t="shared" si="4"/>
        <v>-1273.8570683405087</v>
      </c>
      <c r="R26" s="149">
        <f>'Analysis (A)'!Q26+'Analysis (Nothing)'!D13</f>
        <v>108.83920714581609</v>
      </c>
      <c r="S26" s="149">
        <f t="shared" si="7"/>
        <v>2.3433187620045315</v>
      </c>
      <c r="T26" s="149">
        <f>U25*Configurations!$G$6</f>
        <v>62.627058170446254</v>
      </c>
      <c r="U26" s="149">
        <f>U25+S26-T26</f>
        <v>148.47312115971249</v>
      </c>
      <c r="V26" s="149">
        <f t="shared" si="5"/>
        <v>46.212148975369836</v>
      </c>
      <c r="W26" s="149">
        <f>V26*Constants!$D$23</f>
        <v>4.6212148975369836</v>
      </c>
      <c r="X26" s="149">
        <f>R26-W26</f>
        <v>104.2179922482791</v>
      </c>
      <c r="Y26" s="150">
        <f>X26*(1+Constants!$D$20)^-F26</f>
        <v>88.949052888671901</v>
      </c>
      <c r="Z26" s="111"/>
    </row>
    <row r="27" spans="2:30">
      <c r="F27" s="132">
        <v>9</v>
      </c>
      <c r="G27" s="139">
        <f>G26*(1-Constants!$D$11)</f>
        <v>0.95588957835755972</v>
      </c>
      <c r="H27" s="134">
        <f>$C$17*(G27-Constants!$N$16)</f>
        <v>677.95258451495329</v>
      </c>
      <c r="I27" s="134">
        <f>Consumption!$C$2-'Analysis (A)'!H27</f>
        <v>7622.0474154850472</v>
      </c>
      <c r="J27" s="149">
        <f>I27*'Grid Power'!K26</f>
        <v>1328.436406072344</v>
      </c>
      <c r="K27" s="149">
        <v>0</v>
      </c>
      <c r="L27" s="136">
        <f>L26*(1+Constants!$D$20)</f>
        <v>4.7803702744892442</v>
      </c>
      <c r="M27" s="135">
        <v>0</v>
      </c>
      <c r="N27" s="149">
        <v>0</v>
      </c>
      <c r="O27" s="149">
        <f>IF(H27&lt;I27,0,H27-I27)</f>
        <v>0</v>
      </c>
      <c r="P27" s="149">
        <v>0</v>
      </c>
      <c r="Q27" s="149">
        <f t="shared" si="4"/>
        <v>-1333.2167763468333</v>
      </c>
      <c r="R27" s="149">
        <f>'Analysis (A)'!Q27+'Analysis (Nothing)'!D14</f>
        <v>113.38604659756174</v>
      </c>
      <c r="S27" s="149">
        <f t="shared" si="7"/>
        <v>2.3901851372446221</v>
      </c>
      <c r="T27" s="149">
        <f>U26*Configurations!$G$6</f>
        <v>44.541936347913747</v>
      </c>
      <c r="U27" s="149">
        <f>U26+S27-T27</f>
        <v>106.32136994904337</v>
      </c>
      <c r="V27" s="149">
        <f t="shared" si="5"/>
        <v>68.844110249647997</v>
      </c>
      <c r="W27" s="149">
        <f>V27*Constants!$D$23</f>
        <v>6.8844110249648001</v>
      </c>
      <c r="X27" s="149">
        <f>R27-W27</f>
        <v>106.50163557259694</v>
      </c>
      <c r="Y27" s="150">
        <f>X27*(1+Constants!$D$20)^-F27</f>
        <v>89.115804389421328</v>
      </c>
    </row>
    <row r="28" spans="2:30">
      <c r="F28" s="132">
        <v>10</v>
      </c>
      <c r="G28" s="139">
        <f>G27*(1-Constants!$D$11)</f>
        <v>0.95111013046577186</v>
      </c>
      <c r="H28" s="134">
        <f>$C$17*(G28-Constants!$N$16)</f>
        <v>674.49038221489286</v>
      </c>
      <c r="I28" s="134">
        <f>Consumption!$C$2-'Analysis (A)'!H28</f>
        <v>7625.5096177851074</v>
      </c>
      <c r="J28" s="149">
        <f>I28*'Grid Power'!K27</f>
        <v>1390.6135377986946</v>
      </c>
      <c r="K28" s="149">
        <v>0</v>
      </c>
      <c r="L28" s="136">
        <f>L27*(1+Constants!$D$20)</f>
        <v>4.8759776799790293</v>
      </c>
      <c r="M28" s="149">
        <f>IF(MOD(F28,Configurations!$I$7)=0,Configurations!$C$16,0)</f>
        <v>942.375</v>
      </c>
      <c r="N28" s="149">
        <v>0</v>
      </c>
      <c r="O28" s="149">
        <f>IF(H28&lt;I28,0,H28-I28)</f>
        <v>0</v>
      </c>
      <c r="P28" s="149">
        <v>0</v>
      </c>
      <c r="Q28" s="149">
        <f t="shared" si="4"/>
        <v>-2337.8645154786736</v>
      </c>
      <c r="R28" s="149">
        <f>'Analysis (A)'!Q28+'Analysis (Nothing)'!D15</f>
        <v>-824.24135233286529</v>
      </c>
      <c r="S28" s="149">
        <f>IF(M28&lt;&gt;0,M28/2,IF(L27&lt;&gt;0,L27/2,0))</f>
        <v>471.1875</v>
      </c>
      <c r="T28" s="149">
        <f>U27*Configurations!$G$6</f>
        <v>31.896410984713011</v>
      </c>
      <c r="U28" s="149">
        <f>U27+S28-T28</f>
        <v>545.61245896433036</v>
      </c>
      <c r="V28" s="149">
        <f t="shared" si="5"/>
        <v>0</v>
      </c>
      <c r="W28" s="149">
        <f>V28*Constants!$D$23</f>
        <v>0</v>
      </c>
      <c r="X28" s="149">
        <f>R28-W28</f>
        <v>-824.24135233286529</v>
      </c>
      <c r="Y28" s="150">
        <f>X28*(1+Constants!$D$20)^-F28</f>
        <v>-676.16499207306492</v>
      </c>
    </row>
    <row r="29" spans="2:30">
      <c r="F29" s="132">
        <v>11</v>
      </c>
      <c r="G29" s="139">
        <f>G28*(1-Constants!$D$11)</f>
        <v>0.94635457981344295</v>
      </c>
      <c r="H29" s="134">
        <f>$C$17*(G29-Constants!$N$16)</f>
        <v>671.04549092633272</v>
      </c>
      <c r="I29" s="134">
        <f>Consumption!$C$2-'Analysis (A)'!H29</f>
        <v>7628.9545090736674</v>
      </c>
      <c r="J29" s="149">
        <f>I29*'Grid Power'!K28</f>
        <v>1455.8483403719013</v>
      </c>
      <c r="K29" s="149">
        <v>0</v>
      </c>
      <c r="L29" s="136">
        <f>L28*(1+Constants!$D$20)</f>
        <v>4.9734972335786098</v>
      </c>
      <c r="M29" s="149">
        <v>0</v>
      </c>
      <c r="N29" s="149">
        <v>0</v>
      </c>
      <c r="O29" s="149">
        <f>IF(H29&lt;I29,0,H29-I29)</f>
        <v>0</v>
      </c>
      <c r="P29" s="149">
        <v>0</v>
      </c>
      <c r="Q29" s="149">
        <f t="shared" si="4"/>
        <v>-1460.8218376054799</v>
      </c>
      <c r="R29" s="149">
        <f>'Analysis (A)'!Q29+'Analysis (Nothing)'!D16</f>
        <v>123.09106220910121</v>
      </c>
      <c r="S29" s="149">
        <f>IF(L29&lt;&gt;0,L29/2,IF(M28&lt;&gt;0,M28/2,0))</f>
        <v>2.4867486167893049</v>
      </c>
      <c r="T29" s="149">
        <f>U28*Configurations!$G$6</f>
        <v>163.68373768929911</v>
      </c>
      <c r="U29" s="149">
        <f>U28+S29-T29</f>
        <v>384.41546989182058</v>
      </c>
      <c r="V29" s="149">
        <f>IF(R29&lt;0, 0,IF(R29-T29&lt;0,0,R29-T29))</f>
        <v>0</v>
      </c>
      <c r="W29" s="149">
        <f>V29*Constants!$D$23</f>
        <v>0</v>
      </c>
      <c r="X29" s="149">
        <f>R29-W29</f>
        <v>123.09106220910121</v>
      </c>
      <c r="Y29" s="150">
        <f>X29*(1+Constants!$D$20)^-F29</f>
        <v>98.997591777512923</v>
      </c>
    </row>
    <row r="30" spans="2:30">
      <c r="F30" s="132">
        <v>12</v>
      </c>
      <c r="G30" s="139">
        <f>G29*(1-Constants!$D$11)</f>
        <v>0.94162280691437572</v>
      </c>
      <c r="H30" s="134">
        <f>$C$17*(G30-Constants!$N$16)</f>
        <v>667.61782409421539</v>
      </c>
      <c r="I30" s="134">
        <f>Consumption!$C$2-'Analysis (A)'!H30</f>
        <v>7632.3821759057846</v>
      </c>
      <c r="J30" s="149">
        <f>I30*'Grid Power'!K29</f>
        <v>1524.2947817307256</v>
      </c>
      <c r="K30" s="149">
        <v>0</v>
      </c>
      <c r="L30" s="136">
        <f>L29*(1+Constants!$D$20)</f>
        <v>5.072967178250182</v>
      </c>
      <c r="M30" s="149">
        <v>0</v>
      </c>
      <c r="N30" s="149">
        <v>0</v>
      </c>
      <c r="O30" s="149">
        <f>IF(H30&lt;I30,0,H30-I30)</f>
        <v>0</v>
      </c>
      <c r="P30" s="149">
        <v>0</v>
      </c>
      <c r="Q30" s="149">
        <f t="shared" si="4"/>
        <v>-1529.3677489089757</v>
      </c>
      <c r="R30" s="149">
        <f>'Analysis (A)'!Q30+'Analysis (Nothing)'!D17</f>
        <v>128.26775316214957</v>
      </c>
      <c r="S30" s="149">
        <f t="shared" si="7"/>
        <v>2.536483589125091</v>
      </c>
      <c r="T30" s="149">
        <f>U29*Configurations!$G$6</f>
        <v>115.32464096754617</v>
      </c>
      <c r="U30" s="149">
        <f>U29+S30-T30</f>
        <v>271.62731251339949</v>
      </c>
      <c r="V30" s="149">
        <f t="shared" ref="V30:V38" si="8">IF(R30&lt;0, 0,IF(R30-T30&lt;0,0,R30-T30))</f>
        <v>12.943112194603401</v>
      </c>
      <c r="W30" s="149">
        <f>V30*Constants!$D$23</f>
        <v>1.2943112194603401</v>
      </c>
      <c r="X30" s="149">
        <f>R30-W30</f>
        <v>126.97344194268923</v>
      </c>
      <c r="Y30" s="150">
        <f>X30*(1+Constants!$D$20)^-F30</f>
        <v>100.11769245192413</v>
      </c>
    </row>
    <row r="31" spans="2:30">
      <c r="F31" s="132">
        <v>13</v>
      </c>
      <c r="G31" s="139">
        <f>G30*(1-Constants!$D$11)</f>
        <v>0.93691469287980389</v>
      </c>
      <c r="H31" s="134">
        <f>$C$17*(G31-Constants!$N$16)</f>
        <v>664.20729559625875</v>
      </c>
      <c r="I31" s="134">
        <f>Consumption!$C$2-'Analysis (A)'!H31</f>
        <v>7635.7927044037415</v>
      </c>
      <c r="J31" s="149">
        <f>I31*'Grid Power'!K30</f>
        <v>1596.1146642376877</v>
      </c>
      <c r="K31" s="149">
        <v>0</v>
      </c>
      <c r="L31" s="136">
        <f>L30*(1+Constants!$D$20)</f>
        <v>5.1744265218151853</v>
      </c>
      <c r="M31" s="149">
        <v>0</v>
      </c>
      <c r="N31" s="149">
        <v>0</v>
      </c>
      <c r="O31" s="149">
        <f>IF(H31&lt;I31,0,H31-I31)</f>
        <v>0</v>
      </c>
      <c r="P31" s="149">
        <v>0</v>
      </c>
      <c r="Q31" s="149">
        <f t="shared" si="4"/>
        <v>-1601.2890907595029</v>
      </c>
      <c r="R31" s="149">
        <f>'Analysis (A)'!Q31+'Analysis (Nothing)'!D18</f>
        <v>133.6736132593021</v>
      </c>
      <c r="S31" s="149">
        <f t="shared" si="7"/>
        <v>2.5872132609075926</v>
      </c>
      <c r="T31" s="149">
        <f>U30*Configurations!$G$6</f>
        <v>81.488193754019846</v>
      </c>
      <c r="U31" s="149">
        <f>U30+S31-T31</f>
        <v>192.72633202028726</v>
      </c>
      <c r="V31" s="149">
        <f t="shared" si="8"/>
        <v>52.185419505282255</v>
      </c>
      <c r="W31" s="149">
        <f>V31*Constants!$D$23</f>
        <v>5.218541950528226</v>
      </c>
      <c r="X31" s="149">
        <f>R31-W31</f>
        <v>128.45507130877388</v>
      </c>
      <c r="Y31" s="150">
        <f>X31*(1+Constants!$D$20)^-F31</f>
        <v>99.299948133160044</v>
      </c>
    </row>
    <row r="32" spans="2:30">
      <c r="F32" s="132">
        <v>14</v>
      </c>
      <c r="G32" s="139">
        <f>G31*(1-Constants!$D$11)</f>
        <v>0.9322301194154049</v>
      </c>
      <c r="H32" s="134">
        <f>$C$17*(G32-Constants!$N$16)</f>
        <v>660.81381974079193</v>
      </c>
      <c r="I32" s="134">
        <f>Consumption!$C$2-'Analysis (A)'!H32</f>
        <v>7639.1861802592084</v>
      </c>
      <c r="J32" s="149">
        <f>I32*'Grid Power'!K31</f>
        <v>1671.4780250330296</v>
      </c>
      <c r="K32" s="149">
        <v>0</v>
      </c>
      <c r="L32" s="136">
        <f>L31*(1+Constants!$D$20)</f>
        <v>5.2779150522514895</v>
      </c>
      <c r="M32" s="149">
        <v>0</v>
      </c>
      <c r="N32" s="149">
        <v>0</v>
      </c>
      <c r="O32" s="149">
        <f>IF(H32&lt;I32,0,H32-I32)</f>
        <v>0</v>
      </c>
      <c r="P32" s="149">
        <v>0</v>
      </c>
      <c r="Q32" s="149">
        <f t="shared" si="4"/>
        <v>-1676.7559400852811</v>
      </c>
      <c r="R32" s="149">
        <f>'Analysis (A)'!Q32+'Analysis (Nothing)'!D19</f>
        <v>139.31898459006015</v>
      </c>
      <c r="S32" s="149">
        <f t="shared" si="7"/>
        <v>2.6389575261257447</v>
      </c>
      <c r="T32" s="149">
        <f>U31*Configurations!$G$6</f>
        <v>57.817899606086172</v>
      </c>
      <c r="U32" s="149">
        <f>U31+S32-T32</f>
        <v>137.54738994032684</v>
      </c>
      <c r="V32" s="149">
        <f t="shared" si="8"/>
        <v>81.501084983973982</v>
      </c>
      <c r="W32" s="149">
        <f>V32*Constants!$D$23</f>
        <v>8.1501084983973993</v>
      </c>
      <c r="X32" s="149">
        <f>R32-W32</f>
        <v>131.16887609166275</v>
      </c>
      <c r="Y32" s="150">
        <f>X32*(1+Constants!$D$20)^-F32</f>
        <v>99.409615193187207</v>
      </c>
    </row>
    <row r="33" spans="6:29">
      <c r="F33" s="132">
        <v>15</v>
      </c>
      <c r="G33" s="139">
        <f>G32*(1-Constants!$D$11)</f>
        <v>0.92756896881832784</v>
      </c>
      <c r="H33" s="134">
        <f>$C$17*(G33-Constants!$N$16)</f>
        <v>657.43731126460227</v>
      </c>
      <c r="I33" s="134">
        <f>Consumption!$C$2-'Analysis (A)'!H33</f>
        <v>7642.5626887353974</v>
      </c>
      <c r="J33" s="149">
        <f>I33*'Grid Power'!K32</f>
        <v>1750.5635568793402</v>
      </c>
      <c r="K33" s="149">
        <v>0</v>
      </c>
      <c r="L33" s="136">
        <f>L32*(1+Constants!$D$20)</f>
        <v>5.3834733532965195</v>
      </c>
      <c r="M33" s="149">
        <v>0</v>
      </c>
      <c r="N33" s="149">
        <v>0</v>
      </c>
      <c r="O33" s="149">
        <f>IF(H33&lt;I33,0,H33-I33)</f>
        <v>0</v>
      </c>
      <c r="P33" s="149">
        <v>0</v>
      </c>
      <c r="Q33" s="149">
        <f t="shared" si="4"/>
        <v>-1755.9470302326367</v>
      </c>
      <c r="R33" s="149">
        <f>'Analysis (A)'!Q33+'Analysis (Nothing)'!D20</f>
        <v>145.21467905325926</v>
      </c>
      <c r="S33" s="149">
        <f t="shared" si="7"/>
        <v>2.6917366766482598</v>
      </c>
      <c r="T33" s="149">
        <f>U32*Configurations!$G$6</f>
        <v>41.264216982098048</v>
      </c>
      <c r="U33" s="149">
        <f>U32+S33-T33</f>
        <v>98.974909634877037</v>
      </c>
      <c r="V33" s="149">
        <f t="shared" si="8"/>
        <v>103.95046207116121</v>
      </c>
      <c r="W33" s="149">
        <f>V33*Constants!$D$23</f>
        <v>10.395046207116122</v>
      </c>
      <c r="X33" s="149">
        <f>R33-W33</f>
        <v>134.81963284614315</v>
      </c>
      <c r="Y33" s="150">
        <f>X33*(1+Constants!$D$20)^-F33</f>
        <v>100.17297309632835</v>
      </c>
    </row>
    <row r="34" spans="6:29">
      <c r="F34" s="132">
        <v>16</v>
      </c>
      <c r="G34" s="139">
        <f>G33*(1-Constants!$D$11)</f>
        <v>0.92293112397423616</v>
      </c>
      <c r="H34" s="134">
        <f>$C$17*(G34-Constants!$N$16)</f>
        <v>654.07768533079366</v>
      </c>
      <c r="I34" s="134">
        <f>Consumption!$C$2-'Analysis (A)'!H34</f>
        <v>7645.9223146692066</v>
      </c>
      <c r="J34" s="149">
        <f>I34*'Grid Power'!K33</f>
        <v>1833.5590505459879</v>
      </c>
      <c r="K34" s="149">
        <v>0</v>
      </c>
      <c r="L34" s="136">
        <f>L33*(1+Constants!$D$20)</f>
        <v>5.4911428203624499</v>
      </c>
      <c r="M34" s="149">
        <v>0</v>
      </c>
      <c r="N34" s="149">
        <v>0</v>
      </c>
      <c r="O34" s="149">
        <f>IF(H34&lt;I34,0,H34-I34)</f>
        <v>0</v>
      </c>
      <c r="P34" s="149">
        <v>0</v>
      </c>
      <c r="Q34" s="149">
        <f t="shared" si="4"/>
        <v>-1839.0501933663504</v>
      </c>
      <c r="R34" s="149">
        <f>'Analysis (A)'!Q34+'Analysis (Nothing)'!D21</f>
        <v>151.37199974118448</v>
      </c>
      <c r="S34" s="149">
        <f t="shared" si="7"/>
        <v>2.745571410181225</v>
      </c>
      <c r="T34" s="149">
        <f>U33*Configurations!$G$6</f>
        <v>29.692472890463108</v>
      </c>
      <c r="U34" s="149">
        <f>U33+S34-T34</f>
        <v>72.028008154595156</v>
      </c>
      <c r="V34" s="149">
        <f t="shared" si="8"/>
        <v>121.67952685072137</v>
      </c>
      <c r="W34" s="149">
        <f>V34*Constants!$D$23</f>
        <v>12.167952685072137</v>
      </c>
      <c r="X34" s="149">
        <f>R34-W34</f>
        <v>139.20404705611236</v>
      </c>
      <c r="Y34" s="150">
        <f>X34*(1+Constants!$D$20)^-F34</f>
        <v>101.40260533010435</v>
      </c>
    </row>
    <row r="35" spans="6:29">
      <c r="F35" s="132">
        <v>17</v>
      </c>
      <c r="G35" s="139">
        <f>G34*(1-Constants!$D$11)</f>
        <v>0.91831646835436498</v>
      </c>
      <c r="H35" s="134">
        <f>$C$17*(G35-Constants!$N$16)</f>
        <v>650.73485752665408</v>
      </c>
      <c r="I35" s="134">
        <f>Consumption!$C$2-'Analysis (A)'!H35</f>
        <v>7649.2651424733458</v>
      </c>
      <c r="J35" s="149">
        <f>I35*'Grid Power'!K34</f>
        <v>1920.6618598362277</v>
      </c>
      <c r="K35" s="149">
        <v>0</v>
      </c>
      <c r="L35" s="136">
        <f>L34*(1+Constants!$D$20)</f>
        <v>5.6009656767696994</v>
      </c>
      <c r="M35" s="149">
        <v>0</v>
      </c>
      <c r="N35" s="149">
        <v>0</v>
      </c>
      <c r="O35" s="149">
        <f>IF(H35&lt;I35,0,H35-I35)</f>
        <v>0</v>
      </c>
      <c r="P35" s="149">
        <v>0</v>
      </c>
      <c r="Q35" s="149">
        <f t="shared" si="4"/>
        <v>-1926.2628255129973</v>
      </c>
      <c r="R35" s="149">
        <f>'Analysis (A)'!Q35+'Analysis (Nothing)'!D22</f>
        <v>157.80276329733783</v>
      </c>
      <c r="S35" s="149">
        <f t="shared" si="7"/>
        <v>2.8004828383848497</v>
      </c>
      <c r="T35" s="149">
        <f>U34*Configurations!$G$6</f>
        <v>21.608402446378545</v>
      </c>
      <c r="U35" s="149">
        <f>U34+S35-T35</f>
        <v>53.22008854660146</v>
      </c>
      <c r="V35" s="149">
        <f t="shared" si="8"/>
        <v>136.1943608509593</v>
      </c>
      <c r="W35" s="149">
        <f>V35*Constants!$D$23</f>
        <v>13.619436085095931</v>
      </c>
      <c r="X35" s="149">
        <f>R35-W35</f>
        <v>144.18332721224189</v>
      </c>
      <c r="Y35" s="150">
        <f>X35*(1+Constants!$D$20)^-F35</f>
        <v>102.97033442661497</v>
      </c>
    </row>
    <row r="36" spans="6:29">
      <c r="F36" s="132">
        <v>18</v>
      </c>
      <c r="G36" s="139">
        <f>G35*(1-Constants!$D$11)</f>
        <v>0.91372488601259316</v>
      </c>
      <c r="H36" s="134">
        <f>$C$17*(G36-Constants!$N$16)</f>
        <v>647.40874386153519</v>
      </c>
      <c r="I36" s="134">
        <f>Consumption!$C$2-'Analysis (A)'!H36</f>
        <v>7652.5912561384648</v>
      </c>
      <c r="J36" s="149">
        <f>I36*'Grid Power'!K35</f>
        <v>2012.0793904163002</v>
      </c>
      <c r="K36" s="149">
        <v>0</v>
      </c>
      <c r="L36" s="136">
        <f>L35*(1+Constants!$D$20)</f>
        <v>5.7129849903050935</v>
      </c>
      <c r="M36" s="149">
        <v>0</v>
      </c>
      <c r="N36" s="149">
        <v>0</v>
      </c>
      <c r="O36" s="149">
        <f>IF(H36&lt;I36,0,H36-I36)</f>
        <v>0</v>
      </c>
      <c r="P36" s="149">
        <v>0</v>
      </c>
      <c r="Q36" s="149">
        <f t="shared" si="4"/>
        <v>-2017.7923754066053</v>
      </c>
      <c r="R36" s="149">
        <f>'Analysis (A)'!Q36+'Analysis (Nothing)'!D23</f>
        <v>164.51932329216766</v>
      </c>
      <c r="S36" s="149">
        <f t="shared" si="7"/>
        <v>2.8564924951525468</v>
      </c>
      <c r="T36" s="149">
        <f>U35*Configurations!$G$6</f>
        <v>15.966026563980437</v>
      </c>
      <c r="U36" s="149">
        <f>U35+S36-T36</f>
        <v>40.110554477773569</v>
      </c>
      <c r="V36" s="149">
        <f t="shared" si="8"/>
        <v>148.55329672818721</v>
      </c>
      <c r="W36" s="149">
        <f>V36*Constants!$D$23</f>
        <v>14.855329672818721</v>
      </c>
      <c r="X36" s="149">
        <f>R36-W36</f>
        <v>149.66399361934893</v>
      </c>
      <c r="Y36" s="150">
        <f>X36*(1+Constants!$D$20)^-F36</f>
        <v>104.78864822738238</v>
      </c>
    </row>
    <row r="37" spans="6:29">
      <c r="F37" s="132">
        <v>19</v>
      </c>
      <c r="G37" s="139">
        <f>G36*(1-Constants!$D$11)</f>
        <v>0.90915626158253016</v>
      </c>
      <c r="H37" s="134">
        <f>$C$17*(G37-Constants!$N$16)</f>
        <v>644.09926076474187</v>
      </c>
      <c r="I37" s="134">
        <f>Consumption!$C$2-'Analysis (A)'!H37</f>
        <v>7655.9007392352578</v>
      </c>
      <c r="J37" s="149">
        <f>I37*'Grid Power'!K36</f>
        <v>2108.0296136651959</v>
      </c>
      <c r="K37" s="149">
        <v>0</v>
      </c>
      <c r="L37" s="136">
        <f>L36*(1+Constants!$D$20)</f>
        <v>5.8272446901111952</v>
      </c>
      <c r="M37" s="149">
        <v>0</v>
      </c>
      <c r="N37" s="149">
        <v>0</v>
      </c>
      <c r="O37" s="149">
        <f>IF(H37&lt;I37,0,H37-I37)</f>
        <v>0</v>
      </c>
      <c r="P37" s="149">
        <v>0</v>
      </c>
      <c r="Q37" s="149">
        <f t="shared" si="4"/>
        <v>-2113.8568583553069</v>
      </c>
      <c r="R37" s="149">
        <f>'Analysis (A)'!Q37+'Analysis (Nothing)'!D24</f>
        <v>171.5345946631146</v>
      </c>
      <c r="S37" s="149">
        <f t="shared" si="7"/>
        <v>2.9136223450555976</v>
      </c>
      <c r="T37" s="149">
        <f>U36*Configurations!$G$6</f>
        <v>12.03316634333207</v>
      </c>
      <c r="U37" s="149">
        <f>U36+S37-T37</f>
        <v>30.991010479497099</v>
      </c>
      <c r="V37" s="149">
        <f t="shared" si="8"/>
        <v>159.50142831978252</v>
      </c>
      <c r="W37" s="149">
        <f>V37*Constants!$D$23</f>
        <v>15.950142831978253</v>
      </c>
      <c r="X37" s="149">
        <f>R37-W37</f>
        <v>155.58445183113636</v>
      </c>
      <c r="Y37" s="150">
        <f>X37*(1+Constants!$D$20)^-F37</f>
        <v>106.79795347887996</v>
      </c>
    </row>
    <row r="38" spans="6:29">
      <c r="F38" s="140">
        <v>20</v>
      </c>
      <c r="G38" s="141">
        <f>G37*(1-Constants!$D$11)</f>
        <v>0.90461048027461755</v>
      </c>
      <c r="H38" s="142">
        <f>$C$17*(G38-Constants!$N$16)</f>
        <v>640.80632508343251</v>
      </c>
      <c r="I38" s="142">
        <f>Consumption!$C$2-'Analysis (A)'!H38</f>
        <v>7659.193674916567</v>
      </c>
      <c r="J38" s="152">
        <f>I38*'Grid Power'!K37</f>
        <v>2208.7416068261537</v>
      </c>
      <c r="K38" s="152">
        <v>0</v>
      </c>
      <c r="L38" s="136">
        <f>L37*(1+Constants!$D$20)</f>
        <v>5.9437895839134196</v>
      </c>
      <c r="M38" s="149">
        <v>0</v>
      </c>
      <c r="N38" s="152">
        <v>0</v>
      </c>
      <c r="O38" s="108">
        <v>0</v>
      </c>
      <c r="P38" s="152">
        <f>U38</f>
        <v>24.665602127604679</v>
      </c>
      <c r="Q38" s="149">
        <f t="shared" si="4"/>
        <v>-2190.0197942824625</v>
      </c>
      <c r="R38" s="149">
        <f>'Analysis (A)'!Q38+'Analysis (Nothing)'!D25</f>
        <v>203.52768139500176</v>
      </c>
      <c r="S38" s="152">
        <f t="shared" si="7"/>
        <v>2.9718947919567098</v>
      </c>
      <c r="T38" s="152">
        <f>U37*Configurations!$G$6</f>
        <v>9.2973031438491294</v>
      </c>
      <c r="U38" s="152">
        <f>U37+S38-T38</f>
        <v>24.665602127604679</v>
      </c>
      <c r="V38" s="152">
        <f t="shared" si="8"/>
        <v>194.23037825115264</v>
      </c>
      <c r="W38" s="152">
        <f>V38*Constants!$D$23</f>
        <v>19.423037825115266</v>
      </c>
      <c r="X38" s="152">
        <f>R38-W38</f>
        <v>184.10464356988649</v>
      </c>
      <c r="Y38" s="153">
        <f>X38*(1+Constants!$D$20)^-F38</f>
        <v>123.89714741461033</v>
      </c>
    </row>
    <row r="40" spans="6:29">
      <c r="F40" s="120" t="s">
        <v>203</v>
      </c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AC40" s="147"/>
    </row>
    <row r="41" spans="6:29">
      <c r="F41" s="120" t="s">
        <v>56</v>
      </c>
      <c r="G41" s="120" t="s">
        <v>116</v>
      </c>
      <c r="H41" s="120"/>
      <c r="I41" s="120"/>
      <c r="J41" s="168" t="s">
        <v>6</v>
      </c>
      <c r="K41" s="170"/>
      <c r="L41" s="170"/>
      <c r="M41" s="169"/>
      <c r="N41" s="168" t="s">
        <v>166</v>
      </c>
      <c r="O41" s="170"/>
      <c r="P41" s="169"/>
      <c r="Q41" s="120" t="s">
        <v>176</v>
      </c>
      <c r="R41" s="120"/>
      <c r="S41" s="120"/>
      <c r="T41" s="120"/>
      <c r="U41" s="120"/>
      <c r="V41" s="120"/>
      <c r="W41" s="120"/>
      <c r="X41" s="120" t="s">
        <v>197</v>
      </c>
      <c r="Y41" s="120"/>
      <c r="AA41" s="121" t="s">
        <v>194</v>
      </c>
      <c r="AB41" s="122">
        <f>IRR(X44:X84)</f>
        <v>5.3804013943159035E-2</v>
      </c>
      <c r="AC41" s="147"/>
    </row>
    <row r="42" spans="6:29">
      <c r="F42" s="120"/>
      <c r="G42" s="123" t="s">
        <v>153</v>
      </c>
      <c r="H42" s="124" t="s">
        <v>169</v>
      </c>
      <c r="I42" s="124" t="s">
        <v>170</v>
      </c>
      <c r="J42" s="124" t="s">
        <v>162</v>
      </c>
      <c r="K42" s="124" t="s">
        <v>139</v>
      </c>
      <c r="L42" s="124" t="s">
        <v>164</v>
      </c>
      <c r="M42" s="124" t="s">
        <v>232</v>
      </c>
      <c r="N42" s="124" t="s">
        <v>163</v>
      </c>
      <c r="O42" s="124" t="s">
        <v>165</v>
      </c>
      <c r="P42" s="124" t="s">
        <v>146</v>
      </c>
      <c r="Q42" s="124" t="s">
        <v>174</v>
      </c>
      <c r="R42" s="124" t="s">
        <v>177</v>
      </c>
      <c r="S42" s="124" t="s">
        <v>171</v>
      </c>
      <c r="T42" s="124" t="s">
        <v>8</v>
      </c>
      <c r="U42" s="124" t="s">
        <v>173</v>
      </c>
      <c r="V42" s="124" t="s">
        <v>172</v>
      </c>
      <c r="W42" s="124" t="s">
        <v>175</v>
      </c>
      <c r="X42" s="124" t="s">
        <v>196</v>
      </c>
      <c r="Y42" s="124" t="s">
        <v>196</v>
      </c>
      <c r="AA42" s="121" t="s">
        <v>195</v>
      </c>
      <c r="AB42" s="126">
        <f>IRR(Y44:Y84)</f>
        <v>3.3141190139595489E-2</v>
      </c>
      <c r="AC42" s="147"/>
    </row>
    <row r="43" spans="6:29">
      <c r="F43" s="120"/>
      <c r="G43" s="123"/>
      <c r="H43" s="124" t="s">
        <v>62</v>
      </c>
      <c r="I43" s="124" t="s">
        <v>62</v>
      </c>
      <c r="J43" s="124" t="s">
        <v>59</v>
      </c>
      <c r="K43" s="124" t="s">
        <v>59</v>
      </c>
      <c r="L43" s="124" t="s">
        <v>59</v>
      </c>
      <c r="M43" s="177" t="s">
        <v>59</v>
      </c>
      <c r="N43" s="124" t="s">
        <v>59</v>
      </c>
      <c r="O43" s="124" t="s">
        <v>59</v>
      </c>
      <c r="P43" s="124" t="s">
        <v>59</v>
      </c>
      <c r="Q43" s="124" t="s">
        <v>59</v>
      </c>
      <c r="R43" s="124" t="s">
        <v>59</v>
      </c>
      <c r="S43" s="124" t="s">
        <v>59</v>
      </c>
      <c r="T43" s="124" t="s">
        <v>59</v>
      </c>
      <c r="U43" s="124" t="s">
        <v>59</v>
      </c>
      <c r="V43" s="124" t="s">
        <v>59</v>
      </c>
      <c r="W43" s="124" t="s">
        <v>59</v>
      </c>
      <c r="X43" s="124" t="s">
        <v>59</v>
      </c>
      <c r="Y43" s="128" t="s">
        <v>178</v>
      </c>
      <c r="AA43" s="129" t="s">
        <v>198</v>
      </c>
      <c r="AB43" s="130">
        <f>NPV(Constants!$D$21,'Analysis (A)'!Y45:Y84)+'Analysis (A)'!Y44</f>
        <v>108.50535759707213</v>
      </c>
      <c r="AC43" s="147"/>
    </row>
    <row r="44" spans="6:29">
      <c r="F44" s="132">
        <v>0</v>
      </c>
      <c r="G44" s="133">
        <v>1</v>
      </c>
      <c r="H44" s="134">
        <v>0</v>
      </c>
      <c r="I44" s="134">
        <v>0</v>
      </c>
      <c r="J44" s="135">
        <v>0</v>
      </c>
      <c r="K44" s="135">
        <f>Configurations!$C$18</f>
        <v>2037.9749999999999</v>
      </c>
      <c r="L44" s="136">
        <f>Configurations!$C$24*Constants!$D$63</f>
        <v>4</v>
      </c>
      <c r="M44" s="135">
        <v>0</v>
      </c>
      <c r="N44" s="135">
        <f>Configurations!$C$24*(Incentives!$C$5+Incentives!$C$6)</f>
        <v>360</v>
      </c>
      <c r="O44" s="108">
        <v>0</v>
      </c>
      <c r="P44" s="135">
        <f>IF(H44&lt;I44,0,H44-I44)</f>
        <v>0</v>
      </c>
      <c r="Q44" s="135">
        <f>N44+P44-L44-K44-J44</f>
        <v>-1681.9749999999999</v>
      </c>
      <c r="R44" s="135">
        <f>'Analysis (A)'!Q44+'Analysis (Nothing)'!D5</f>
        <v>-1681.9749999999999</v>
      </c>
      <c r="S44" s="135">
        <f>$K$7/2</f>
        <v>1018.9875</v>
      </c>
      <c r="T44" s="135">
        <v>0</v>
      </c>
      <c r="U44" s="135">
        <f>S44-T44</f>
        <v>1018.9875</v>
      </c>
      <c r="V44" s="135">
        <f>IF(R44&lt;0, 0,R44-T44)</f>
        <v>0</v>
      </c>
      <c r="W44" s="135">
        <f>V44*Constants!$D$23</f>
        <v>0</v>
      </c>
      <c r="X44" s="135">
        <f>R44-W44</f>
        <v>-1681.9749999999999</v>
      </c>
      <c r="Y44" s="130">
        <f>X44*(1+Constants!$D$20)^-F44</f>
        <v>-1681.9749999999999</v>
      </c>
      <c r="AA44" s="121" t="s">
        <v>199</v>
      </c>
      <c r="AB44" s="138">
        <f>PMT(Constants!$D$21,5,-'Analysis (A)'!AB43)</f>
        <v>23.692640852774922</v>
      </c>
      <c r="AC44" s="147"/>
    </row>
    <row r="45" spans="6:29">
      <c r="F45" s="132">
        <v>1</v>
      </c>
      <c r="G45" s="139">
        <f>G44*(1-Constants!$D$11)</f>
        <v>0.995</v>
      </c>
      <c r="H45" s="134">
        <f>$C$17*(G45-Constants!$N$16)</f>
        <v>706.28393048473583</v>
      </c>
      <c r="I45" s="134">
        <f>Consumption!$C$2-'Analysis (A)'!H45</f>
        <v>7593.7160695152643</v>
      </c>
      <c r="J45" s="135">
        <f>I45*'Grid Power'!K18</f>
        <v>924.91950762010799</v>
      </c>
      <c r="K45" s="135">
        <v>0</v>
      </c>
      <c r="L45" s="136">
        <f>L44*(1+Constants!$D$20)</f>
        <v>4.08</v>
      </c>
      <c r="M45" s="135">
        <v>0</v>
      </c>
      <c r="N45" s="135">
        <v>0</v>
      </c>
      <c r="O45" s="108">
        <v>0</v>
      </c>
      <c r="P45" s="135">
        <f>IF(H45&lt;I45,0,H45-I45)</f>
        <v>0</v>
      </c>
      <c r="Q45" s="135">
        <f>N45+P45-L45-K45-J45</f>
        <v>-928.99950762010803</v>
      </c>
      <c r="R45" s="135">
        <f>'Analysis (A)'!Q45+'Analysis (Nothing)'!D6</f>
        <v>81.950709605652037</v>
      </c>
      <c r="S45" s="135">
        <f>$K$7/2</f>
        <v>1018.9875</v>
      </c>
      <c r="T45" s="135">
        <f>U44*Configurations!$G$6</f>
        <v>305.69624999999996</v>
      </c>
      <c r="U45" s="135">
        <f>U44+S45-T45</f>
        <v>1732.2787499999999</v>
      </c>
      <c r="V45" s="135">
        <f>IF(R45&lt;0, 0,IF(R45-T45&lt;0,0,R45-T45))</f>
        <v>0</v>
      </c>
      <c r="W45" s="135">
        <f>V45*Constants!$D$23</f>
        <v>0</v>
      </c>
      <c r="X45" s="135">
        <f>R45-W45</f>
        <v>81.950709605652037</v>
      </c>
      <c r="Y45" s="130">
        <f>X45*(1+Constants!$D$20)^-F45</f>
        <v>80.343832946717683</v>
      </c>
      <c r="AC45" s="147"/>
    </row>
    <row r="46" spans="6:29">
      <c r="F46" s="132">
        <v>2</v>
      </c>
      <c r="G46" s="139">
        <f>G45*(1-Constants!$D$11)</f>
        <v>0.99002500000000004</v>
      </c>
      <c r="H46" s="134">
        <f>$C$17*(G46-Constants!$N$16)</f>
        <v>702.68007145482659</v>
      </c>
      <c r="I46" s="134">
        <f>Consumption!$C$2-'Analysis (A)'!H46</f>
        <v>7597.3199285451738</v>
      </c>
      <c r="J46" s="135">
        <f>I46*'Grid Power'!K19</f>
        <v>967.35550792303843</v>
      </c>
      <c r="K46" s="135">
        <v>0</v>
      </c>
      <c r="L46" s="136">
        <f>L45*(1+Constants!$D$20)</f>
        <v>4.1616</v>
      </c>
      <c r="M46" s="135">
        <v>0</v>
      </c>
      <c r="N46" s="135">
        <v>0</v>
      </c>
      <c r="O46" s="108">
        <v>0</v>
      </c>
      <c r="P46" s="135">
        <f>IF(H46&lt;I46,0,H46-I46)</f>
        <v>0</v>
      </c>
      <c r="Q46" s="135">
        <f>N46+P46-L46-K46-J46</f>
        <v>-971.51710792303845</v>
      </c>
      <c r="R46" s="135">
        <f>'Analysis (A)'!Q46+'Analysis (Nothing)'!D7</f>
        <v>85.314707177190371</v>
      </c>
      <c r="S46" s="135">
        <f>IF(MOD(L46,5)=0,L46/2,0)</f>
        <v>0</v>
      </c>
      <c r="T46" s="135">
        <f>U45*Configurations!$G$6</f>
        <v>519.68362500000001</v>
      </c>
      <c r="U46" s="135">
        <f>U45+S46-T46</f>
        <v>1212.5951249999998</v>
      </c>
      <c r="V46" s="135">
        <f>IF(R46&lt;0, 0,IF(R46-T46&lt;0,0,R46-T46))</f>
        <v>0</v>
      </c>
      <c r="W46" s="135">
        <f>V46*Constants!$D$23</f>
        <v>0</v>
      </c>
      <c r="X46" s="135">
        <f>R46-W46</f>
        <v>85.314707177190371</v>
      </c>
      <c r="Y46" s="130">
        <f>X46*(1+Constants!$D$20)^-F46</f>
        <v>82.001833119175672</v>
      </c>
    </row>
    <row r="47" spans="6:29">
      <c r="F47" s="132">
        <v>3</v>
      </c>
      <c r="G47" s="139">
        <f>G46*(1-Constants!$D$11)</f>
        <v>0.98507487500000002</v>
      </c>
      <c r="H47" s="134">
        <f>$C$17*(G47-Constants!$N$16)</f>
        <v>699.09423172006677</v>
      </c>
      <c r="I47" s="134">
        <f>Consumption!$C$2-'Analysis (A)'!H47</f>
        <v>7600.905768279933</v>
      </c>
      <c r="J47" s="135">
        <f>I47*'Grid Power'!K20</f>
        <v>1011.857446902431</v>
      </c>
      <c r="K47" s="135">
        <v>0</v>
      </c>
      <c r="L47" s="136">
        <f>L46*(1+Constants!$D$20)</f>
        <v>4.2448319999999997</v>
      </c>
      <c r="M47" s="135">
        <v>0</v>
      </c>
      <c r="N47" s="135">
        <v>0</v>
      </c>
      <c r="O47" s="108">
        <v>0</v>
      </c>
      <c r="P47" s="135">
        <f>IF(H47&lt;I47,0,H47-I47)</f>
        <v>0</v>
      </c>
      <c r="Q47" s="135">
        <f>N47+P47-L47-K47-J47</f>
        <v>-1016.102278902431</v>
      </c>
      <c r="R47" s="135">
        <f>'Analysis (A)'!Q47+'Analysis (Nothing)'!D8</f>
        <v>88.826204573375207</v>
      </c>
      <c r="S47" s="135">
        <f t="shared" ref="S47:S48" si="9">IF(MOD(L47,5)=0,L47/2,0)</f>
        <v>0</v>
      </c>
      <c r="T47" s="135">
        <f>U46*Configurations!$G$6</f>
        <v>363.77853749999991</v>
      </c>
      <c r="U47" s="135">
        <f>U46+S47-T47</f>
        <v>848.81658749999997</v>
      </c>
      <c r="V47" s="135">
        <f>IF(R47&lt;0, 0,IF(R47-T47&lt;0,0,R47-T47))</f>
        <v>0</v>
      </c>
      <c r="W47" s="135">
        <f>V47*Constants!$D$23</f>
        <v>0</v>
      </c>
      <c r="X47" s="135">
        <f>R47-W47</f>
        <v>88.826204573375207</v>
      </c>
      <c r="Y47" s="130">
        <f>X47*(1+Constants!$D$20)^-F47</f>
        <v>83.702916462536294</v>
      </c>
    </row>
    <row r="48" spans="6:29">
      <c r="F48" s="132">
        <v>4</v>
      </c>
      <c r="G48" s="139">
        <f>G47*(1-Constants!$D$11)</f>
        <v>0.98014950062500006</v>
      </c>
      <c r="H48" s="134">
        <f>$C$17*(G48-Constants!$N$16)</f>
        <v>695.52632118398083</v>
      </c>
      <c r="I48" s="134">
        <f>Consumption!$C$2-'Analysis (A)'!H48</f>
        <v>7604.4736788160189</v>
      </c>
      <c r="J48" s="135">
        <f>I48*'Grid Power'!K21</f>
        <v>1058.5288789252872</v>
      </c>
      <c r="K48" s="135">
        <v>0</v>
      </c>
      <c r="L48" s="136">
        <f>L47*(1+Constants!$D$20)</f>
        <v>4.3297286399999999</v>
      </c>
      <c r="M48" s="135">
        <v>0</v>
      </c>
      <c r="N48" s="135">
        <v>0</v>
      </c>
      <c r="O48" s="108">
        <v>0</v>
      </c>
      <c r="P48" s="135">
        <f>IF(H48&lt;I48,0,H48-I48)</f>
        <v>0</v>
      </c>
      <c r="Q48" s="135">
        <f>N48+P48-L48-K48-J48</f>
        <v>-1062.8586075652872</v>
      </c>
      <c r="R48" s="135">
        <f>'Analysis (A)'!Q48+'Analysis (Nothing)'!D9</f>
        <v>92.491835780971314</v>
      </c>
      <c r="S48" s="135">
        <f t="shared" si="9"/>
        <v>0</v>
      </c>
      <c r="T48" s="135">
        <f>U47*Configurations!$G$6</f>
        <v>254.64497624999998</v>
      </c>
      <c r="U48" s="135">
        <f>U47+S48-T48</f>
        <v>594.17161124999996</v>
      </c>
      <c r="V48" s="135">
        <f>IF(R48&lt;0, 0,IF(R48-T48&lt;0,0,R48-T48))</f>
        <v>0</v>
      </c>
      <c r="W48" s="135">
        <f>V48*Constants!$D$23</f>
        <v>0</v>
      </c>
      <c r="X48" s="135">
        <f>R48-W48</f>
        <v>92.491835780971314</v>
      </c>
      <c r="Y48" s="130">
        <f>X48*(1+Constants!$D$20)^-F48</f>
        <v>85.448159431045838</v>
      </c>
      <c r="AB48" s="111"/>
    </row>
    <row r="49" spans="6:25">
      <c r="F49" s="132">
        <v>5</v>
      </c>
      <c r="G49" s="139">
        <f>G48*(1-Constants!$D$11)</f>
        <v>0.97524875312187509</v>
      </c>
      <c r="H49" s="134">
        <f>$C$17*(G49-Constants!$N$16)</f>
        <v>691.97625020057535</v>
      </c>
      <c r="I49" s="134">
        <f>Consumption!$C$2-'Analysis (A)'!H49</f>
        <v>7608.0237497994249</v>
      </c>
      <c r="J49" s="135">
        <f>I49*'Grid Power'!K22</f>
        <v>1107.4786174836258</v>
      </c>
      <c r="K49" s="135">
        <v>0</v>
      </c>
      <c r="L49" s="136">
        <f>L48*(1+Constants!$D$20)</f>
        <v>4.4163232128000001</v>
      </c>
      <c r="M49" s="135">
        <v>0</v>
      </c>
      <c r="N49" s="135">
        <v>0</v>
      </c>
      <c r="O49" s="108">
        <v>0</v>
      </c>
      <c r="P49" s="135">
        <v>0</v>
      </c>
      <c r="Q49" s="135">
        <f>N49+P49-L49-K49-J49</f>
        <v>-1111.8949406964259</v>
      </c>
      <c r="R49" s="135">
        <f>'Analysis (A)'!Q49+'Analysis (Nothing)'!D10</f>
        <v>96.31853583236807</v>
      </c>
      <c r="S49" s="135">
        <f>IF(L49&lt;&gt;0,L49/2,IF(L48&lt;&gt;0,L48/2,0))</f>
        <v>2.2081616064</v>
      </c>
      <c r="T49" s="135">
        <f>U48*Configurations!$G$6</f>
        <v>178.25148337499999</v>
      </c>
      <c r="U49" s="135">
        <f>U48+S49-T49</f>
        <v>418.12828948139997</v>
      </c>
      <c r="V49" s="135">
        <f>IF(R49&lt;0, 0,IF(R49-T49&lt;0,0,R49-T49))</f>
        <v>0</v>
      </c>
      <c r="W49" s="135">
        <f>V49*Constants!$D$23</f>
        <v>0</v>
      </c>
      <c r="X49" s="135">
        <f>R49-W49</f>
        <v>96.31853583236807</v>
      </c>
      <c r="Y49" s="130">
        <f>X49*(1+Constants!$D$20)^-F49</f>
        <v>87.238665461082505</v>
      </c>
    </row>
    <row r="50" spans="6:25">
      <c r="F50" s="132">
        <v>6</v>
      </c>
      <c r="G50" s="139">
        <f>G49*(1-Constants!$D$11)</f>
        <v>0.97037250935626573</v>
      </c>
      <c r="H50" s="134">
        <f>$C$17*(G50-Constants!$N$16)</f>
        <v>688.44392957208686</v>
      </c>
      <c r="I50" s="134">
        <f>Consumption!$C$2-'Analysis (A)'!H50</f>
        <v>7611.5560704279133</v>
      </c>
      <c r="J50" s="135">
        <f>I50*'Grid Power'!K23</f>
        <v>1158.8210037539161</v>
      </c>
      <c r="K50" s="135">
        <v>0</v>
      </c>
      <c r="L50" s="136">
        <f>L49*(1+Constants!$D$20)</f>
        <v>4.5046496770560003</v>
      </c>
      <c r="M50" s="135">
        <v>0</v>
      </c>
      <c r="N50" s="135">
        <v>0</v>
      </c>
      <c r="O50" s="108">
        <v>0</v>
      </c>
      <c r="P50" s="135">
        <f>IF(H50&lt;I50,0,H50-I50)</f>
        <v>0</v>
      </c>
      <c r="Q50" s="135">
        <f>N50+P50-L50-K50-J50</f>
        <v>-1163.3256534309721</v>
      </c>
      <c r="R50" s="135">
        <f>'Analysis (A)'!Q50+'Analysis (Nothing)'!D11</f>
        <v>100.31355450524779</v>
      </c>
      <c r="S50" s="135">
        <f t="shared" ref="S50:S71" si="10">IF(L50&lt;&gt;0,L50/2,IF(L49&lt;&gt;0,L49/2,0))</f>
        <v>2.2523248385280001</v>
      </c>
      <c r="T50" s="135">
        <f>U49*Configurations!$G$6</f>
        <v>125.43848684441998</v>
      </c>
      <c r="U50" s="135">
        <f>U49+S50-T50</f>
        <v>294.94212747550802</v>
      </c>
      <c r="V50" s="135">
        <f>IF(R50&lt;0, 0,IF(R50-T50&lt;0,0,R50-T50))</f>
        <v>0</v>
      </c>
      <c r="W50" s="135">
        <f>V50*Constants!$D$23</f>
        <v>0</v>
      </c>
      <c r="X50" s="135">
        <f>R50-W50</f>
        <v>100.31355450524779</v>
      </c>
      <c r="Y50" s="130">
        <f>X50*(1+Constants!$D$20)^-F50</f>
        <v>89.075565646034789</v>
      </c>
    </row>
    <row r="51" spans="6:25">
      <c r="F51" s="132">
        <v>7</v>
      </c>
      <c r="G51" s="139">
        <f>G50*(1-Constants!$D$11)</f>
        <v>0.96552064680948435</v>
      </c>
      <c r="H51" s="134">
        <f>$C$17*(G51-Constants!$N$16)</f>
        <v>684.92927054674078</v>
      </c>
      <c r="I51" s="134">
        <f>Consumption!$C$2-'Analysis (A)'!H51</f>
        <v>7615.0707294532594</v>
      </c>
      <c r="J51" s="135">
        <f>I51*'Grid Power'!K24</f>
        <v>1212.6761888990497</v>
      </c>
      <c r="K51" s="135">
        <v>0</v>
      </c>
      <c r="L51" s="136">
        <f>L50*(1+Constants!$D$20)</f>
        <v>4.5947426705971202</v>
      </c>
      <c r="M51" s="135">
        <v>0</v>
      </c>
      <c r="N51" s="135">
        <v>0</v>
      </c>
      <c r="O51" s="108">
        <v>0</v>
      </c>
      <c r="P51" s="135">
        <f>IF(H51&lt;I51,0,H51-I51)</f>
        <v>0</v>
      </c>
      <c r="Q51" s="135">
        <f>N51+P51-L51-K51-J51</f>
        <v>-1217.2709315696468</v>
      </c>
      <c r="R51" s="135">
        <f>'Analysis (A)'!Q51+'Analysis (Nothing)'!D12</f>
        <v>104.48447064607603</v>
      </c>
      <c r="S51" s="135">
        <f t="shared" si="10"/>
        <v>2.2973713352985601</v>
      </c>
      <c r="T51" s="135">
        <f>U50*Configurations!$G$6</f>
        <v>88.482638242652399</v>
      </c>
      <c r="U51" s="135">
        <f>U50+S51-T51</f>
        <v>208.7568605681542</v>
      </c>
      <c r="V51" s="135">
        <f>IF(R51&lt;0, 0,IF(R51-T51&lt;0,0,R51-T51))</f>
        <v>16.001832403423634</v>
      </c>
      <c r="W51" s="135">
        <f>V51*Constants!$D$23</f>
        <v>1.6001832403423635</v>
      </c>
      <c r="X51" s="135">
        <f>R51-W51</f>
        <v>102.88428740573367</v>
      </c>
      <c r="Y51" s="130">
        <f>X51*(1+Constants!$D$20)^-F51</f>
        <v>89.566963620500758</v>
      </c>
    </row>
    <row r="52" spans="6:25">
      <c r="F52" s="132">
        <v>8</v>
      </c>
      <c r="G52" s="139">
        <f>G51*(1-Constants!$D$11)</f>
        <v>0.96069304357543694</v>
      </c>
      <c r="H52" s="134">
        <f>$C$17*(G52-Constants!$N$16)</f>
        <v>681.4321848165215</v>
      </c>
      <c r="I52" s="134">
        <f>Consumption!$C$2-'Analysis (A)'!H52</f>
        <v>7618.5678151834782</v>
      </c>
      <c r="J52" s="135">
        <f>I52*'Grid Power'!K25</f>
        <v>1269.1704308164997</v>
      </c>
      <c r="K52" s="135">
        <v>0</v>
      </c>
      <c r="L52" s="136">
        <f>L51*(1+Constants!$D$20)</f>
        <v>4.686637524009063</v>
      </c>
      <c r="M52" s="135">
        <v>0</v>
      </c>
      <c r="N52" s="135">
        <v>0</v>
      </c>
      <c r="O52" s="108">
        <v>0</v>
      </c>
      <c r="P52" s="135">
        <f>IF(H52&lt;I52,0,H52-I52)</f>
        <v>0</v>
      </c>
      <c r="Q52" s="135">
        <f>N52+P52-L52-K52-J52</f>
        <v>-1273.8570683405087</v>
      </c>
      <c r="R52" s="135">
        <f>'Analysis (A)'!Q52+'Analysis (Nothing)'!D13</f>
        <v>108.83920714581609</v>
      </c>
      <c r="S52" s="135">
        <f t="shared" si="10"/>
        <v>2.3433187620045315</v>
      </c>
      <c r="T52" s="135">
        <f>U51*Configurations!$G$6</f>
        <v>62.627058170446254</v>
      </c>
      <c r="U52" s="135">
        <f>U51+S52-T52</f>
        <v>148.47312115971249</v>
      </c>
      <c r="V52" s="135">
        <f>IF(R52&lt;0, 0,IF(R52-T52&lt;0,0,R52-T52))</f>
        <v>46.212148975369836</v>
      </c>
      <c r="W52" s="135">
        <f>V52*Constants!$D$23</f>
        <v>4.6212148975369836</v>
      </c>
      <c r="X52" s="135">
        <f>R52-W52</f>
        <v>104.2179922482791</v>
      </c>
      <c r="Y52" s="130">
        <f>X52*(1+Constants!$D$20)^-F52</f>
        <v>88.949052888671901</v>
      </c>
    </row>
    <row r="53" spans="6:25">
      <c r="F53" s="132">
        <v>9</v>
      </c>
      <c r="G53" s="139">
        <f>G52*(1-Constants!$D$11)</f>
        <v>0.95588957835755972</v>
      </c>
      <c r="H53" s="134">
        <f>$C$17*(G53-Constants!$N$16)</f>
        <v>677.95258451495329</v>
      </c>
      <c r="I53" s="134">
        <f>Consumption!$C$2-'Analysis (A)'!H53</f>
        <v>7622.0474154850472</v>
      </c>
      <c r="J53" s="135">
        <f>I53*'Grid Power'!K26</f>
        <v>1328.436406072344</v>
      </c>
      <c r="K53" s="135">
        <v>0</v>
      </c>
      <c r="L53" s="136">
        <f>L52*(1+Constants!$D$20)</f>
        <v>4.7803702744892442</v>
      </c>
      <c r="M53" s="135">
        <v>0</v>
      </c>
      <c r="N53" s="135">
        <v>0</v>
      </c>
      <c r="O53" s="108">
        <v>0</v>
      </c>
      <c r="P53" s="135">
        <f>IF(H53&lt;I53,0,H53-I53)</f>
        <v>0</v>
      </c>
      <c r="Q53" s="135">
        <f>N53+P53-L53-K53-J53</f>
        <v>-1333.2167763468333</v>
      </c>
      <c r="R53" s="135">
        <f>'Analysis (A)'!Q53+'Analysis (Nothing)'!D14</f>
        <v>113.38604659756174</v>
      </c>
      <c r="S53" s="135">
        <f t="shared" si="10"/>
        <v>2.3901851372446221</v>
      </c>
      <c r="T53" s="135">
        <f>U52*Configurations!$G$6</f>
        <v>44.541936347913747</v>
      </c>
      <c r="U53" s="135">
        <f>U52+S53-T53</f>
        <v>106.32136994904337</v>
      </c>
      <c r="V53" s="135">
        <f>IF(R53&lt;0, 0,IF(R53-T53&lt;0,0,R53-T53))</f>
        <v>68.844110249647997</v>
      </c>
      <c r="W53" s="135">
        <f>V53*Constants!$D$23</f>
        <v>6.8844110249648001</v>
      </c>
      <c r="X53" s="135">
        <f>R53-W53</f>
        <v>106.50163557259694</v>
      </c>
      <c r="Y53" s="130">
        <f>X53*(1+Constants!$D$20)^-F53</f>
        <v>89.115804389421328</v>
      </c>
    </row>
    <row r="54" spans="6:25">
      <c r="F54" s="132">
        <v>10</v>
      </c>
      <c r="G54" s="139">
        <f>G53*(1-Constants!$D$11)</f>
        <v>0.95111013046577186</v>
      </c>
      <c r="H54" s="134">
        <f>$C$17*(G54-Constants!$N$16)</f>
        <v>674.49038221489286</v>
      </c>
      <c r="I54" s="134">
        <f>Consumption!$C$2-'Analysis (A)'!H54</f>
        <v>7625.5096177851074</v>
      </c>
      <c r="J54" s="135">
        <f>I54*'Grid Power'!K27</f>
        <v>1390.6135377986946</v>
      </c>
      <c r="K54" s="135">
        <v>0</v>
      </c>
      <c r="L54" s="136">
        <f>L53*(1+Constants!$D$20)</f>
        <v>4.8759776799790293</v>
      </c>
      <c r="M54" s="135">
        <f>IF(MOD(F54,Configurations!$I$7)=0,Configurations!$C$16,0)</f>
        <v>942.375</v>
      </c>
      <c r="N54" s="135">
        <v>0</v>
      </c>
      <c r="O54" s="108">
        <v>0</v>
      </c>
      <c r="P54" s="135">
        <f>IF(H54&lt;I54,0,H54-I54)</f>
        <v>0</v>
      </c>
      <c r="Q54" s="135">
        <f>N54+P54-M54-K54-J54</f>
        <v>-2332.9885377986948</v>
      </c>
      <c r="R54" s="135">
        <f>'Analysis (A)'!Q54+'Analysis (Nothing)'!D15</f>
        <v>-819.36537465288643</v>
      </c>
      <c r="S54" s="135">
        <f>IF(M54&lt;&gt;0,M54/2,IF(L53&lt;&gt;0,L53/2,0))</f>
        <v>471.1875</v>
      </c>
      <c r="T54" s="135">
        <f>U53*Configurations!$G$6</f>
        <v>31.896410984713011</v>
      </c>
      <c r="U54" s="135">
        <f>U53+S54-T54</f>
        <v>545.61245896433036</v>
      </c>
      <c r="V54" s="135">
        <f>IF(R54&lt;0, 0,IF(R54-T54&lt;0,0,R54-T54))</f>
        <v>0</v>
      </c>
      <c r="W54" s="135">
        <f>V54*Constants!$D$23</f>
        <v>0</v>
      </c>
      <c r="X54" s="135">
        <f>R54-W54</f>
        <v>-819.36537465288643</v>
      </c>
      <c r="Y54" s="130">
        <f>X54*(1+Constants!$D$20)^-F54</f>
        <v>-672.16499207306504</v>
      </c>
    </row>
    <row r="55" spans="6:25">
      <c r="F55" s="132">
        <v>11</v>
      </c>
      <c r="G55" s="139">
        <f>G54*(1-Constants!$D$11)</f>
        <v>0.94635457981344295</v>
      </c>
      <c r="H55" s="134">
        <f>$C$17*(G55-Constants!$N$16)</f>
        <v>671.04549092633272</v>
      </c>
      <c r="I55" s="134">
        <f>Consumption!$C$2-'Analysis (A)'!H55</f>
        <v>7628.9545090736674</v>
      </c>
      <c r="J55" s="135">
        <f>I55*'Grid Power'!K28</f>
        <v>1455.8483403719013</v>
      </c>
      <c r="K55" s="135">
        <v>0</v>
      </c>
      <c r="L55" s="136">
        <f>L54*(1+Constants!$D$20)</f>
        <v>4.9734972335786098</v>
      </c>
      <c r="M55" s="135">
        <v>0</v>
      </c>
      <c r="N55" s="135">
        <v>0</v>
      </c>
      <c r="O55" s="108">
        <v>0</v>
      </c>
      <c r="P55" s="135">
        <f>IF(H55&lt;I55,0,H55-I55)</f>
        <v>0</v>
      </c>
      <c r="Q55" s="135">
        <f>N55+P55-M55-K55-J55</f>
        <v>-1455.8483403719013</v>
      </c>
      <c r="R55" s="135">
        <f>'Analysis (A)'!Q55+'Analysis (Nothing)'!D16</f>
        <v>128.06455944267987</v>
      </c>
      <c r="S55" s="135">
        <f>IF(M55&lt;&gt;0,M55/2,IF(M54&lt;&gt;0,M54/2,0))</f>
        <v>471.1875</v>
      </c>
      <c r="T55" s="135">
        <f>U54*Configurations!$G$6</f>
        <v>163.68373768929911</v>
      </c>
      <c r="U55" s="135">
        <f>U54+S55-T55</f>
        <v>853.11622127503119</v>
      </c>
      <c r="V55" s="135">
        <f>IF(R55&lt;0, 0,IF(R55-T55&lt;0,0,R55-T55))</f>
        <v>0</v>
      </c>
      <c r="W55" s="135">
        <f>V55*Constants!$D$23</f>
        <v>0</v>
      </c>
      <c r="X55" s="135">
        <f>R55-W55</f>
        <v>128.06455944267987</v>
      </c>
      <c r="Y55" s="130">
        <f>X55*(1+Constants!$D$20)^-F55</f>
        <v>102.99759177751295</v>
      </c>
    </row>
    <row r="56" spans="6:25">
      <c r="F56" s="132">
        <v>12</v>
      </c>
      <c r="G56" s="139">
        <f>G55*(1-Constants!$D$11)</f>
        <v>0.94162280691437572</v>
      </c>
      <c r="H56" s="134">
        <f>$C$17*(G56-Constants!$N$16)</f>
        <v>667.61782409421539</v>
      </c>
      <c r="I56" s="134">
        <f>Consumption!$C$2-'Analysis (A)'!H56</f>
        <v>7632.3821759057846</v>
      </c>
      <c r="J56" s="135">
        <f>I56*'Grid Power'!K29</f>
        <v>1524.2947817307256</v>
      </c>
      <c r="K56" s="135">
        <v>0</v>
      </c>
      <c r="L56" s="136">
        <f>L55*(1+Constants!$D$20)</f>
        <v>5.072967178250182</v>
      </c>
      <c r="M56" s="135">
        <v>0</v>
      </c>
      <c r="N56" s="135">
        <v>0</v>
      </c>
      <c r="O56" s="108">
        <v>0</v>
      </c>
      <c r="P56" s="135">
        <f>IF(H56&lt;I56,0,H56-I56)</f>
        <v>0</v>
      </c>
      <c r="Q56" s="135">
        <f>N56+P56-M56-K56-J56</f>
        <v>-1524.2947817307256</v>
      </c>
      <c r="R56" s="135">
        <f>'Analysis (A)'!Q56+'Analysis (Nothing)'!D17</f>
        <v>133.34072034039968</v>
      </c>
      <c r="S56" s="135">
        <f>IF(M56&lt;&gt;0,M56/2,IF(M55&lt;&gt;0,M55/2,0))</f>
        <v>0</v>
      </c>
      <c r="T56" s="135">
        <f>U55*Configurations!$G$6</f>
        <v>255.93486638250934</v>
      </c>
      <c r="U56" s="135">
        <f>U55+S56-T56</f>
        <v>597.18135489252188</v>
      </c>
      <c r="V56" s="135">
        <f>IF(R56&lt;0, 0,IF(R56-T56&lt;0,0,R56-T56))</f>
        <v>0</v>
      </c>
      <c r="W56" s="135">
        <f>V56*Constants!$D$23</f>
        <v>0</v>
      </c>
      <c r="X56" s="135">
        <f>R56-W56</f>
        <v>133.34072034039968</v>
      </c>
      <c r="Y56" s="130">
        <f>X56*(1+Constants!$D$20)^-F56</f>
        <v>105.13824801554732</v>
      </c>
    </row>
    <row r="57" spans="6:25">
      <c r="F57" s="132">
        <v>13</v>
      </c>
      <c r="G57" s="139">
        <f>G56*(1-Constants!$D$11)</f>
        <v>0.93691469287980389</v>
      </c>
      <c r="H57" s="134">
        <f>$C$17*(G57-Constants!$N$16)</f>
        <v>664.20729559625875</v>
      </c>
      <c r="I57" s="134">
        <f>Consumption!$C$2-'Analysis (A)'!H57</f>
        <v>7635.7927044037415</v>
      </c>
      <c r="J57" s="135">
        <f>I57*'Grid Power'!K30</f>
        <v>1596.1146642376877</v>
      </c>
      <c r="K57" s="135">
        <v>0</v>
      </c>
      <c r="L57" s="136">
        <f>L56*(1+Constants!$D$20)</f>
        <v>5.1744265218151853</v>
      </c>
      <c r="M57" s="135">
        <v>0</v>
      </c>
      <c r="N57" s="135">
        <v>0</v>
      </c>
      <c r="O57" s="108">
        <v>0</v>
      </c>
      <c r="P57" s="135">
        <f>IF(H57&lt;I57,0,H57-I57)</f>
        <v>0</v>
      </c>
      <c r="Q57" s="135">
        <f>N57+P57-M57-K57-J57</f>
        <v>-1596.1146642376877</v>
      </c>
      <c r="R57" s="135">
        <f>'Analysis (A)'!Q57+'Analysis (Nothing)'!D18</f>
        <v>138.84803978111722</v>
      </c>
      <c r="S57" s="135">
        <f>IF(M57&lt;&gt;0,M57/2,IF(M56&lt;&gt;0,M56/2,0))</f>
        <v>0</v>
      </c>
      <c r="T57" s="135">
        <f>U56*Configurations!$G$6</f>
        <v>179.15440646775656</v>
      </c>
      <c r="U57" s="135">
        <f>U56+S57-T57</f>
        <v>418.02694842476535</v>
      </c>
      <c r="V57" s="135">
        <f>IF(R57&lt;0, 0,IF(R57-T57&lt;0,0,R57-T57))</f>
        <v>0</v>
      </c>
      <c r="W57" s="135">
        <f>V57*Constants!$D$23</f>
        <v>0</v>
      </c>
      <c r="X57" s="135">
        <f>R57-W57</f>
        <v>138.84803978111722</v>
      </c>
      <c r="Y57" s="130">
        <f>X57*(1+Constants!$D$20)^-F57</f>
        <v>107.33405079441303</v>
      </c>
    </row>
    <row r="58" spans="6:25">
      <c r="F58" s="132">
        <v>14</v>
      </c>
      <c r="G58" s="139">
        <f>G57*(1-Constants!$D$11)</f>
        <v>0.9322301194154049</v>
      </c>
      <c r="H58" s="134">
        <f>$C$17*(G58-Constants!$N$16)</f>
        <v>660.81381974079193</v>
      </c>
      <c r="I58" s="134">
        <f>Consumption!$C$2-'Analysis (A)'!H58</f>
        <v>7639.1861802592084</v>
      </c>
      <c r="J58" s="135">
        <f>I58*'Grid Power'!K31</f>
        <v>1671.4780250330296</v>
      </c>
      <c r="K58" s="135">
        <v>0</v>
      </c>
      <c r="L58" s="136">
        <f>L57*(1+Constants!$D$20)</f>
        <v>5.2779150522514895</v>
      </c>
      <c r="M58" s="135">
        <v>0</v>
      </c>
      <c r="N58" s="135">
        <v>0</v>
      </c>
      <c r="O58" s="108">
        <v>0</v>
      </c>
      <c r="P58" s="135">
        <f>IF(H58&lt;I58,0,H58-I58)</f>
        <v>0</v>
      </c>
      <c r="Q58" s="135">
        <f>N58+P58-M58-K58-J58</f>
        <v>-1671.4780250330296</v>
      </c>
      <c r="R58" s="135">
        <f>'Analysis (A)'!Q58+'Analysis (Nothing)'!D19</f>
        <v>144.59689964231166</v>
      </c>
      <c r="S58" s="135">
        <f>IF(M58&lt;&gt;0,M58/2,IF(M57&lt;&gt;0,M57/2,0))</f>
        <v>0</v>
      </c>
      <c r="T58" s="135">
        <f>U57*Configurations!$G$6</f>
        <v>125.40808452742959</v>
      </c>
      <c r="U58" s="135">
        <f>U57+S58-T58</f>
        <v>292.61886389733576</v>
      </c>
      <c r="V58" s="135">
        <f>IF(R58&lt;0, 0,IF(R58-T58&lt;0,0,R58-T58))</f>
        <v>19.188815114882061</v>
      </c>
      <c r="W58" s="135">
        <f>V58*Constants!$D$23</f>
        <v>1.9188815114882063</v>
      </c>
      <c r="X58" s="135">
        <f>R58-W58</f>
        <v>142.67801813082346</v>
      </c>
      <c r="Y58" s="130">
        <f>X58*(1+Constants!$D$20)^-F58</f>
        <v>108.13210649910624</v>
      </c>
    </row>
    <row r="59" spans="6:25">
      <c r="F59" s="132">
        <v>15</v>
      </c>
      <c r="G59" s="139">
        <f>G58*(1-Constants!$D$11)</f>
        <v>0.92756896881832784</v>
      </c>
      <c r="H59" s="134">
        <f>$C$17*(G59-Constants!$N$16)</f>
        <v>657.43731126460227</v>
      </c>
      <c r="I59" s="134">
        <f>Consumption!$C$2-'Analysis (A)'!H59</f>
        <v>7642.5626887353974</v>
      </c>
      <c r="J59" s="135">
        <f>I59*'Grid Power'!K32</f>
        <v>1750.5635568793402</v>
      </c>
      <c r="K59" s="135">
        <v>0</v>
      </c>
      <c r="L59" s="136">
        <f>L58*(1+Constants!$D$20)</f>
        <v>5.3834733532965195</v>
      </c>
      <c r="M59" s="135">
        <v>0</v>
      </c>
      <c r="N59" s="135">
        <v>0</v>
      </c>
      <c r="O59" s="108">
        <v>0</v>
      </c>
      <c r="P59" s="135">
        <f>IF(H59&lt;I59,0,H59-I59)</f>
        <v>0</v>
      </c>
      <c r="Q59" s="135">
        <f>N59+P59-M59-K59-J59</f>
        <v>-1750.5635568793402</v>
      </c>
      <c r="R59" s="135">
        <f>'Analysis (A)'!Q59+'Analysis (Nothing)'!D20</f>
        <v>150.59815240655576</v>
      </c>
      <c r="S59" s="135">
        <f>IF(M59&lt;&gt;0,M59/2,IF(M58&lt;&gt;0,M58/2,0))</f>
        <v>0</v>
      </c>
      <c r="T59" s="135">
        <f>U58*Configurations!$G$6</f>
        <v>87.785659169200727</v>
      </c>
      <c r="U59" s="135">
        <f>U58+S59-T59</f>
        <v>204.83320472813503</v>
      </c>
      <c r="V59" s="135">
        <f>IF(R59&lt;0, 0,IF(R59-T59&lt;0,0,R59-T59))</f>
        <v>62.812493237355028</v>
      </c>
      <c r="W59" s="135">
        <f>V59*Constants!$D$23</f>
        <v>6.2812493237355032</v>
      </c>
      <c r="X59" s="135">
        <f>R59-W59</f>
        <v>144.31690308282026</v>
      </c>
      <c r="Y59" s="130">
        <f>X59*(1+Constants!$D$20)^-F59</f>
        <v>107.229584776861</v>
      </c>
    </row>
    <row r="60" spans="6:25">
      <c r="F60" s="132">
        <v>16</v>
      </c>
      <c r="G60" s="139">
        <f>G59*(1-Constants!$D$11)</f>
        <v>0.92293112397423616</v>
      </c>
      <c r="H60" s="134">
        <f>$C$17*(G60-Constants!$N$16)</f>
        <v>654.07768533079366</v>
      </c>
      <c r="I60" s="134">
        <f>Consumption!$C$2-'Analysis (A)'!H60</f>
        <v>7645.9223146692066</v>
      </c>
      <c r="J60" s="135">
        <f>I60*'Grid Power'!K33</f>
        <v>1833.5590505459879</v>
      </c>
      <c r="K60" s="135">
        <v>0</v>
      </c>
      <c r="L60" s="136">
        <f>L59*(1+Constants!$D$20)</f>
        <v>5.4911428203624499</v>
      </c>
      <c r="M60" s="135">
        <v>0</v>
      </c>
      <c r="N60" s="135">
        <v>0</v>
      </c>
      <c r="O60" s="108">
        <v>0</v>
      </c>
      <c r="P60" s="135">
        <f>IF(H60&lt;I60,0,H60-I60)</f>
        <v>0</v>
      </c>
      <c r="Q60" s="135">
        <f>N60+P60-M60-K60-J60</f>
        <v>-1833.5590505459879</v>
      </c>
      <c r="R60" s="135">
        <f>'Analysis (A)'!Q60+'Analysis (Nothing)'!D21</f>
        <v>156.86314256154697</v>
      </c>
      <c r="S60" s="135">
        <f>IF(M60&lt;&gt;0,M60/2,IF(M59&lt;&gt;0,M59/2,0))</f>
        <v>0</v>
      </c>
      <c r="T60" s="135">
        <f>U59*Configurations!$G$6</f>
        <v>61.449961418440509</v>
      </c>
      <c r="U60" s="135">
        <f>U59+S60-T60</f>
        <v>143.38324330969454</v>
      </c>
      <c r="V60" s="135">
        <f>IF(R60&lt;0, 0,IF(R60-T60&lt;0,0,R60-T60))</f>
        <v>95.413181143106456</v>
      </c>
      <c r="W60" s="135">
        <f>V60*Constants!$D$23</f>
        <v>9.5413181143106467</v>
      </c>
      <c r="X60" s="135">
        <f>R60-W60</f>
        <v>147.32182444723631</v>
      </c>
      <c r="Y60" s="130">
        <f>X60*(1+Constants!$D$20)^-F60</f>
        <v>107.31596628733266</v>
      </c>
    </row>
    <row r="61" spans="6:25">
      <c r="F61" s="132">
        <v>17</v>
      </c>
      <c r="G61" s="139">
        <f>G60*(1-Constants!$D$11)</f>
        <v>0.91831646835436498</v>
      </c>
      <c r="H61" s="134">
        <f>$C$17*(G61-Constants!$N$16)</f>
        <v>650.73485752665408</v>
      </c>
      <c r="I61" s="134">
        <f>Consumption!$C$2-'Analysis (A)'!H61</f>
        <v>7649.2651424733458</v>
      </c>
      <c r="J61" s="135">
        <f>I61*'Grid Power'!K34</f>
        <v>1920.6618598362277</v>
      </c>
      <c r="K61" s="135">
        <v>0</v>
      </c>
      <c r="L61" s="136">
        <f>L60*(1+Constants!$D$20)</f>
        <v>5.6009656767696994</v>
      </c>
      <c r="M61" s="135">
        <v>0</v>
      </c>
      <c r="N61" s="135">
        <v>0</v>
      </c>
      <c r="O61" s="108">
        <v>0</v>
      </c>
      <c r="P61" s="135">
        <f>IF(H61&lt;I61,0,H61-I61)</f>
        <v>0</v>
      </c>
      <c r="Q61" s="135">
        <f>N61+P61-M61-K61-J61</f>
        <v>-1920.6618598362277</v>
      </c>
      <c r="R61" s="135">
        <f>'Analysis (A)'!Q61+'Analysis (Nothing)'!D22</f>
        <v>163.40372897410748</v>
      </c>
      <c r="S61" s="135">
        <f>IF(M61&lt;&gt;0,M61/2,IF(M60&lt;&gt;0,M60/2,0))</f>
        <v>0</v>
      </c>
      <c r="T61" s="135">
        <f>U60*Configurations!$G$6</f>
        <v>43.014972992908362</v>
      </c>
      <c r="U61" s="135">
        <f>U60+S61-T61</f>
        <v>100.36827031678618</v>
      </c>
      <c r="V61" s="135">
        <f>IF(R61&lt;0, 0,IF(R61-T61&lt;0,0,R61-T61))</f>
        <v>120.38875598119913</v>
      </c>
      <c r="W61" s="135">
        <f>V61*Constants!$D$23</f>
        <v>12.038875598119914</v>
      </c>
      <c r="X61" s="135">
        <f>R61-W61</f>
        <v>151.36485337598756</v>
      </c>
      <c r="Y61" s="130">
        <f>X61*(1+Constants!$D$20)^-F61</f>
        <v>108.09911155412455</v>
      </c>
    </row>
    <row r="62" spans="6:25">
      <c r="F62" s="132">
        <v>18</v>
      </c>
      <c r="G62" s="139">
        <f>G61*(1-Constants!$D$11)</f>
        <v>0.91372488601259316</v>
      </c>
      <c r="H62" s="134">
        <f>$C$17*(G62-Constants!$N$16)</f>
        <v>647.40874386153519</v>
      </c>
      <c r="I62" s="134">
        <f>Consumption!$C$2-'Analysis (A)'!H62</f>
        <v>7652.5912561384648</v>
      </c>
      <c r="J62" s="135">
        <f>I62*'Grid Power'!K35</f>
        <v>2012.0793904163002</v>
      </c>
      <c r="K62" s="135">
        <v>0</v>
      </c>
      <c r="L62" s="136">
        <f>L61*(1+Constants!$D$20)</f>
        <v>5.7129849903050935</v>
      </c>
      <c r="M62" s="135">
        <v>0</v>
      </c>
      <c r="N62" s="135">
        <v>0</v>
      </c>
      <c r="O62" s="108">
        <v>0</v>
      </c>
      <c r="P62" s="135">
        <f>IF(H62&lt;I62,0,H62-I62)</f>
        <v>0</v>
      </c>
      <c r="Q62" s="135">
        <f>N62+P62-M62-K62-J62</f>
        <v>-2012.0793904163002</v>
      </c>
      <c r="R62" s="135">
        <f>'Analysis (A)'!Q62+'Analysis (Nothing)'!D23</f>
        <v>170.23230828247279</v>
      </c>
      <c r="S62" s="135">
        <f>IF(M62&lt;&gt;0,M62/2,IF(M61&lt;&gt;0,M61/2,0))</f>
        <v>0</v>
      </c>
      <c r="T62" s="135">
        <f>U61*Configurations!$G$6</f>
        <v>30.110481095035851</v>
      </c>
      <c r="U62" s="135">
        <f>U61+S62-T62</f>
        <v>70.257789221750329</v>
      </c>
      <c r="V62" s="135">
        <f>IF(R62&lt;0, 0,IF(R62-T62&lt;0,0,R62-T62))</f>
        <v>140.12182718743693</v>
      </c>
      <c r="W62" s="135">
        <f>V62*Constants!$D$23</f>
        <v>14.012182718743695</v>
      </c>
      <c r="X62" s="135">
        <f>R62-W62</f>
        <v>156.22012556372908</v>
      </c>
      <c r="Y62" s="130">
        <f>X62*(1+Constants!$D$20)^-F62</f>
        <v>109.37898547175175</v>
      </c>
    </row>
    <row r="63" spans="6:25">
      <c r="F63" s="132">
        <v>19</v>
      </c>
      <c r="G63" s="139">
        <f>G62*(1-Constants!$D$11)</f>
        <v>0.90915626158253016</v>
      </c>
      <c r="H63" s="134">
        <f>$C$17*(G63-Constants!$N$16)</f>
        <v>644.09926076474187</v>
      </c>
      <c r="I63" s="134">
        <f>Consumption!$C$2-'Analysis (A)'!H63</f>
        <v>7655.9007392352578</v>
      </c>
      <c r="J63" s="135">
        <f>I63*'Grid Power'!K36</f>
        <v>2108.0296136651959</v>
      </c>
      <c r="K63" s="135">
        <v>0</v>
      </c>
      <c r="L63" s="136">
        <f>L62*(1+Constants!$D$20)</f>
        <v>5.8272446901111952</v>
      </c>
      <c r="M63" s="135">
        <v>0</v>
      </c>
      <c r="N63" s="135">
        <v>0</v>
      </c>
      <c r="O63" s="108">
        <v>0</v>
      </c>
      <c r="P63" s="135">
        <f>IF(H63&lt;I63,0,H63-I63)</f>
        <v>0</v>
      </c>
      <c r="Q63" s="135">
        <f>N63+P63-M63-K63-J63</f>
        <v>-2108.0296136651959</v>
      </c>
      <c r="R63" s="135">
        <f>'Analysis (A)'!Q63+'Analysis (Nothing)'!D24</f>
        <v>177.36183935322561</v>
      </c>
      <c r="S63" s="135">
        <f>IF(M63&lt;&gt;0,M63/2,IF(M62&lt;&gt;0,M62/2,0))</f>
        <v>0</v>
      </c>
      <c r="T63" s="135">
        <f>U62*Configurations!$G$6</f>
        <v>21.077336766525097</v>
      </c>
      <c r="U63" s="135">
        <f>U62+S63-T63</f>
        <v>49.180452455225236</v>
      </c>
      <c r="V63" s="135">
        <f>IF(R63&lt;0, 0,IF(R63-T63&lt;0,0,R63-T63))</f>
        <v>156.28450258670051</v>
      </c>
      <c r="W63" s="135">
        <f>V63*Constants!$D$23</f>
        <v>15.628450258670052</v>
      </c>
      <c r="X63" s="135">
        <f>R63-W63</f>
        <v>161.73338909455555</v>
      </c>
      <c r="Y63" s="130">
        <f>X63*(1+Constants!$D$20)^-F63</f>
        <v>111.01877315638821</v>
      </c>
    </row>
    <row r="64" spans="6:25">
      <c r="F64" s="132">
        <v>20</v>
      </c>
      <c r="G64" s="139">
        <f>G63*(1-Constants!$D$11)</f>
        <v>0.90461048027461755</v>
      </c>
      <c r="H64" s="134">
        <f>$C$17*(G64-Constants!$N$16)</f>
        <v>640.80632508343251</v>
      </c>
      <c r="I64" s="134">
        <f>Consumption!$C$2-'Analysis (A)'!H64</f>
        <v>7659.193674916567</v>
      </c>
      <c r="J64" s="135">
        <f>I64*'Grid Power'!K37</f>
        <v>2208.7416068261537</v>
      </c>
      <c r="K64" s="135">
        <v>0</v>
      </c>
      <c r="L64" s="136">
        <f>L63*(1+Constants!$D$20)</f>
        <v>5.9437895839134196</v>
      </c>
      <c r="M64" s="135">
        <v>0</v>
      </c>
      <c r="N64" s="135">
        <v>0</v>
      </c>
      <c r="O64" s="108">
        <v>0</v>
      </c>
      <c r="P64" s="135">
        <v>0</v>
      </c>
      <c r="Q64" s="135">
        <f>N64+P64-M64-K64-J64</f>
        <v>-2208.7416068261537</v>
      </c>
      <c r="R64" s="135">
        <f>'Analysis (A)'!Q64+'Analysis (Nothing)'!D25</f>
        <v>184.80586885131061</v>
      </c>
      <c r="S64" s="135">
        <f>IF(M64&lt;&gt;0,M64/2,IF(M63&lt;&gt;0,M63/2,0))</f>
        <v>0</v>
      </c>
      <c r="T64" s="135">
        <f>U63*Configurations!$G$6</f>
        <v>14.754135736567569</v>
      </c>
      <c r="U64" s="135">
        <f>U63+S64-T64</f>
        <v>34.426316718657667</v>
      </c>
      <c r="V64" s="135">
        <f>IF(R64&lt;0, 0,IF(R64-T64&lt;0,0,R64-T64))</f>
        <v>170.05173311474303</v>
      </c>
      <c r="W64" s="135">
        <f>V64*Constants!$D$23</f>
        <v>17.005173311474305</v>
      </c>
      <c r="X64" s="135">
        <f>R64-W64</f>
        <v>167.80069553983631</v>
      </c>
      <c r="Y64" s="130">
        <f>X64*(1+Constants!$D$20)^-F64</f>
        <v>112.92505777390296</v>
      </c>
    </row>
    <row r="65" spans="6:25">
      <c r="F65" s="132">
        <v>21</v>
      </c>
      <c r="G65" s="139">
        <f>G64*(1-Constants!$D$11)</f>
        <v>0.90008742787324447</v>
      </c>
      <c r="H65" s="134">
        <f>$C$17*(G65-Constants!$N$16)</f>
        <v>637.52985408052984</v>
      </c>
      <c r="I65" s="134">
        <f>Consumption!$C$2-'Analysis (A)'!H65</f>
        <v>7662.4701459194703</v>
      </c>
      <c r="J65" s="135">
        <f>I65*'Grid Power'!K38</f>
        <v>2314.4561208065375</v>
      </c>
      <c r="K65" s="135">
        <v>0</v>
      </c>
      <c r="L65" s="136">
        <f>L64*(1+Constants!$D$20)</f>
        <v>6.0626653755916884</v>
      </c>
      <c r="M65" s="135">
        <v>0</v>
      </c>
      <c r="N65" s="135">
        <v>0</v>
      </c>
      <c r="O65" s="108">
        <v>0</v>
      </c>
      <c r="P65" s="135">
        <f>IF(H65&lt;I65,0,H65-I65)</f>
        <v>0</v>
      </c>
      <c r="Q65" s="135">
        <f>N65+P65-M65-K65-J65</f>
        <v>-2314.4561208065375</v>
      </c>
      <c r="R65" s="135">
        <f>'Analysis (A)'!Q65+'Analysis (Nothing)'!D26</f>
        <v>192.57855797379352</v>
      </c>
      <c r="S65" s="135">
        <f>IF(M65&lt;&gt;0,M65/2,IF(M64&lt;&gt;0,M64/2,0))</f>
        <v>0</v>
      </c>
      <c r="T65" s="135">
        <f>U64*Configurations!$G$6</f>
        <v>10.327895015597299</v>
      </c>
      <c r="U65" s="135">
        <f>U64+S65-T65</f>
        <v>24.098421703060367</v>
      </c>
      <c r="V65" s="135">
        <f>IF(R65&lt;0, 0,IF(R65-T65&lt;0,0,R65-T65))</f>
        <v>182.25066295819622</v>
      </c>
      <c r="W65" s="135">
        <f>V65*Constants!$D$23</f>
        <v>18.225066295819623</v>
      </c>
      <c r="X65" s="135">
        <f>R65-W65</f>
        <v>174.35349167797389</v>
      </c>
      <c r="Y65" s="130">
        <f>X65*(1+Constants!$D$20)^-F65</f>
        <v>115.03421737899093</v>
      </c>
    </row>
    <row r="66" spans="6:25">
      <c r="F66" s="132">
        <v>22</v>
      </c>
      <c r="G66" s="139">
        <f>G65*(1-Constants!$D$11)</f>
        <v>0.89558699073387826</v>
      </c>
      <c r="H66" s="134">
        <f>$C$17*(G66-Constants!$N$16)</f>
        <v>634.26976543264152</v>
      </c>
      <c r="I66" s="134">
        <f>Consumption!$C$2-'Analysis (A)'!H66</f>
        <v>7665.7302345673588</v>
      </c>
      <c r="J66" s="135">
        <f>I66*'Grid Power'!K39</f>
        <v>2425.4261770416738</v>
      </c>
      <c r="K66" s="135">
        <v>0</v>
      </c>
      <c r="L66" s="136">
        <f>L65*(1+Constants!$D$20)</f>
        <v>6.1839186831035224</v>
      </c>
      <c r="M66" s="135">
        <v>0</v>
      </c>
      <c r="N66" s="135">
        <v>0</v>
      </c>
      <c r="O66" s="108">
        <v>0</v>
      </c>
      <c r="P66" s="135">
        <f>IF(H66&lt;I66,0,H66-I66)</f>
        <v>0</v>
      </c>
      <c r="Q66" s="135">
        <f>N66+P66-M66-K66-J66</f>
        <v>-2425.4261770416738</v>
      </c>
      <c r="R66" s="135">
        <f>'Analysis (A)'!Q66+'Analysis (Nothing)'!D27</f>
        <v>200.69471040032249</v>
      </c>
      <c r="S66" s="135">
        <f>IF(M66&lt;&gt;0,M66/2,IF(M65&lt;&gt;0,M65/2,0))</f>
        <v>0</v>
      </c>
      <c r="T66" s="135">
        <f>U65*Configurations!$G$6</f>
        <v>7.2295265109181095</v>
      </c>
      <c r="U66" s="135">
        <f>U65+S66-T66</f>
        <v>16.868895192142258</v>
      </c>
      <c r="V66" s="135">
        <f>IF(R66&lt;0, 0,IF(R66-T66&lt;0,0,R66-T66))</f>
        <v>193.46518388940439</v>
      </c>
      <c r="W66" s="135">
        <f>V66*Constants!$D$23</f>
        <v>19.346518388940439</v>
      </c>
      <c r="X66" s="135">
        <f>R66-W66</f>
        <v>181.34819201138205</v>
      </c>
      <c r="Y66" s="130">
        <f>X66*(1+Constants!$D$20)^-F66</f>
        <v>117.30308971033814</v>
      </c>
    </row>
    <row r="67" spans="6:25">
      <c r="F67" s="132">
        <v>23</v>
      </c>
      <c r="G67" s="139">
        <f>G66*(1-Constants!$D$11)</f>
        <v>0.89110905578020883</v>
      </c>
      <c r="H67" s="134">
        <f>$C$17*(G67-Constants!$N$16)</f>
        <v>631.02597722799271</v>
      </c>
      <c r="I67" s="134">
        <f>Consumption!$C$2-'Analysis (A)'!H67</f>
        <v>7668.9740227720076</v>
      </c>
      <c r="J67" s="135">
        <f>I67*'Grid Power'!K40</f>
        <v>2541.9176949107136</v>
      </c>
      <c r="K67" s="135">
        <v>0</v>
      </c>
      <c r="L67" s="136">
        <f>L66*(1+Constants!$D$20)</f>
        <v>6.3075970567655926</v>
      </c>
      <c r="M67" s="135">
        <v>0</v>
      </c>
      <c r="N67" s="135">
        <v>0</v>
      </c>
      <c r="O67" s="108">
        <v>0</v>
      </c>
      <c r="P67" s="135">
        <f>IF(H67&lt;I67,0,H67-I67)</f>
        <v>0</v>
      </c>
      <c r="Q67" s="135">
        <f>N67+P67-M67-K67-J67</f>
        <v>-2541.9176949107136</v>
      </c>
      <c r="R67" s="135">
        <f>'Analysis (A)'!Q67+'Analysis (Nothing)'!D28</f>
        <v>209.16980151565804</v>
      </c>
      <c r="S67" s="135">
        <f>IF(M67&lt;&gt;0,M67/2,IF(M66&lt;&gt;0,M66/2,0))</f>
        <v>0</v>
      </c>
      <c r="T67" s="135">
        <f>U66*Configurations!$G$6</f>
        <v>5.0606685576426775</v>
      </c>
      <c r="U67" s="135">
        <f>U66+S67-T67</f>
        <v>11.808226634499579</v>
      </c>
      <c r="V67" s="135">
        <f>IF(R67&lt;0, 0,IF(R67-T67&lt;0,0,R67-T67))</f>
        <v>204.10913295801535</v>
      </c>
      <c r="W67" s="135">
        <f>V67*Constants!$D$23</f>
        <v>20.410913295801535</v>
      </c>
      <c r="X67" s="135">
        <f>R67-W67</f>
        <v>188.75888821985649</v>
      </c>
      <c r="Y67" s="130">
        <f>X67*(1+Constants!$D$20)^-F67</f>
        <v>119.70256598264591</v>
      </c>
    </row>
    <row r="68" spans="6:25">
      <c r="F68" s="132">
        <v>24</v>
      </c>
      <c r="G68" s="139">
        <f>G67*(1-Constants!$D$11)</f>
        <v>0.88665351050130781</v>
      </c>
      <c r="H68" s="134">
        <f>$C$17*(G68-Constants!$N$16)</f>
        <v>627.79840796436713</v>
      </c>
      <c r="I68" s="134">
        <f>Consumption!$C$2-'Analysis (A)'!H68</f>
        <v>7672.2015920356325</v>
      </c>
      <c r="J68" s="135">
        <f>I68*'Grid Power'!K41</f>
        <v>2664.2101512687409</v>
      </c>
      <c r="K68" s="135">
        <v>0</v>
      </c>
      <c r="L68" s="136">
        <f>L67*(1+Constants!$D$20)</f>
        <v>6.4337489979009046</v>
      </c>
      <c r="M68" s="135">
        <v>0</v>
      </c>
      <c r="N68" s="135">
        <v>0</v>
      </c>
      <c r="O68" s="108">
        <v>0</v>
      </c>
      <c r="P68" s="135">
        <f>IF(H68&lt;I68,0,H68-I68)</f>
        <v>0</v>
      </c>
      <c r="Q68" s="135">
        <f>N68+P68-M68-K68-J68</f>
        <v>-2664.2101512687409</v>
      </c>
      <c r="R68" s="135">
        <f>'Analysis (A)'!Q68+'Analysis (Nothing)'!D29</f>
        <v>218.02000896215577</v>
      </c>
      <c r="S68" s="135">
        <f>IF(M68&lt;&gt;0,M68/2,IF(M67&lt;&gt;0,M67/2,0))</f>
        <v>0</v>
      </c>
      <c r="T68" s="135">
        <f>U67*Configurations!$G$6</f>
        <v>3.5424679903498739</v>
      </c>
      <c r="U68" s="135">
        <f>U67+S68-T68</f>
        <v>8.265758644149706</v>
      </c>
      <c r="V68" s="135">
        <f>IF(R68&lt;0, 0,IF(R68-T68&lt;0,0,R68-T68))</f>
        <v>214.47754097180589</v>
      </c>
      <c r="W68" s="135">
        <f>V68*Constants!$D$23</f>
        <v>21.447754097180592</v>
      </c>
      <c r="X68" s="135">
        <f>R68-W68</f>
        <v>196.57225486497518</v>
      </c>
      <c r="Y68" s="130">
        <f>X68*(1+Constants!$D$20)^-F68</f>
        <v>122.2131947821462</v>
      </c>
    </row>
    <row r="69" spans="6:25">
      <c r="F69" s="132">
        <v>25</v>
      </c>
      <c r="G69" s="139">
        <f>G68*(1-Constants!$D$11)</f>
        <v>0.8822202429488013</v>
      </c>
      <c r="H69" s="134">
        <f>$C$17*(G69-Constants!$N$16)</f>
        <v>624.58697654705975</v>
      </c>
      <c r="I69" s="134">
        <f>Consumption!$C$2-'Analysis (A)'!H69</f>
        <v>7675.4130234529403</v>
      </c>
      <c r="J69" s="135">
        <f>I69*'Grid Power'!K42</f>
        <v>2792.5972737394322</v>
      </c>
      <c r="K69" s="135">
        <v>0</v>
      </c>
      <c r="L69" s="136">
        <f>L68*(1+Constants!$D$20)</f>
        <v>6.5624239778589226</v>
      </c>
      <c r="M69" s="135">
        <v>0</v>
      </c>
      <c r="N69" s="135">
        <v>0</v>
      </c>
      <c r="O69" s="108">
        <v>0</v>
      </c>
      <c r="P69" s="135">
        <f>IF(H69&lt;I69,0,H69-I69)</f>
        <v>0</v>
      </c>
      <c r="Q69" s="135">
        <f>N69+P69-M69-K69-J69</f>
        <v>-2792.5972737394322</v>
      </c>
      <c r="R69" s="135">
        <f>'Analysis (A)'!Q69+'Analysis (Nothing)'!D30</f>
        <v>227.26224458272918</v>
      </c>
      <c r="S69" s="135">
        <f>IF(M69&lt;&gt;0,M69/2,IF(M68&lt;&gt;0,M68/2,0))</f>
        <v>0</v>
      </c>
      <c r="T69" s="135">
        <f>U68*Configurations!$G$6</f>
        <v>2.4797275932449119</v>
      </c>
      <c r="U69" s="135">
        <f>U68+S69-T69</f>
        <v>5.7860310509047945</v>
      </c>
      <c r="V69" s="135">
        <f>IF(R69&lt;0, 0,IF(R69-T69&lt;0,0,R69-T69))</f>
        <v>224.78251698948426</v>
      </c>
      <c r="W69" s="135">
        <f>V69*Constants!$D$23</f>
        <v>22.478251698948426</v>
      </c>
      <c r="X69" s="135">
        <f>R69-W69</f>
        <v>204.78399288378074</v>
      </c>
      <c r="Y69" s="130">
        <f>X69*(1+Constants!$D$20)^-F69</f>
        <v>124.82216545270784</v>
      </c>
    </row>
    <row r="70" spans="6:25">
      <c r="F70" s="132">
        <v>26</v>
      </c>
      <c r="G70" s="139">
        <f>G69*(1-Constants!$D$11)</f>
        <v>0.87780914173405733</v>
      </c>
      <c r="H70" s="134">
        <f>$C$17*(G70-Constants!$N$16)</f>
        <v>621.39160228683886</v>
      </c>
      <c r="I70" s="134">
        <f>Consumption!$C$2-'Analysis (A)'!H70</f>
        <v>7678.6083977131611</v>
      </c>
      <c r="J70" s="135">
        <f>I70*'Grid Power'!K43</f>
        <v>2927.3877694967555</v>
      </c>
      <c r="K70" s="135">
        <v>0</v>
      </c>
      <c r="L70" s="136">
        <f>L69*(1+Constants!$D$20)</f>
        <v>6.6936724574161008</v>
      </c>
      <c r="M70" s="135">
        <v>0</v>
      </c>
      <c r="N70" s="135">
        <v>0</v>
      </c>
      <c r="O70" s="108">
        <v>0</v>
      </c>
      <c r="P70" s="135">
        <f>IF(H70&lt;I70,0,H70-I70)</f>
        <v>0</v>
      </c>
      <c r="Q70" s="135">
        <f>N70+P70-M70-K70-J70</f>
        <v>-2927.3877694967555</v>
      </c>
      <c r="R70" s="135">
        <f>'Analysis (A)'!Q70+'Analysis (Nothing)'!D31</f>
        <v>236.91418781755465</v>
      </c>
      <c r="S70" s="135">
        <f>IF(M70&lt;&gt;0,M70/2,IF(M69&lt;&gt;0,M69/2,0))</f>
        <v>0</v>
      </c>
      <c r="T70" s="135">
        <f>U69*Configurations!$G$6</f>
        <v>1.7358093152714382</v>
      </c>
      <c r="U70" s="135">
        <f>U69+S70-T70</f>
        <v>4.0502217356333565</v>
      </c>
      <c r="V70" s="135">
        <f>IF(R70&lt;0, 0,IF(R70-T70&lt;0,0,R70-T70))</f>
        <v>235.17837850228321</v>
      </c>
      <c r="W70" s="135">
        <f>V70*Constants!$D$23</f>
        <v>23.517837850228322</v>
      </c>
      <c r="X70" s="135">
        <f>R70-W70</f>
        <v>213.39634996732633</v>
      </c>
      <c r="Y70" s="130">
        <f>X70*(1+Constants!$D$20)^-F70</f>
        <v>127.52123819915859</v>
      </c>
    </row>
    <row r="71" spans="6:25">
      <c r="F71" s="132">
        <v>27</v>
      </c>
      <c r="G71" s="139">
        <f>G70*(1-Constants!$D$11)</f>
        <v>0.87342009602538706</v>
      </c>
      <c r="H71" s="134">
        <f>$C$17*(G71-Constants!$N$16)</f>
        <v>618.21220489791904</v>
      </c>
      <c r="I71" s="134">
        <f>Consumption!$C$2-'Analysis (A)'!H71</f>
        <v>7681.787795102081</v>
      </c>
      <c r="J71" s="135">
        <f>I71*'Grid Power'!K44</f>
        <v>3068.9060913526523</v>
      </c>
      <c r="K71" s="135">
        <v>0</v>
      </c>
      <c r="L71" s="136">
        <f>L70*(1+Constants!$D$20)</f>
        <v>6.8275459065644233</v>
      </c>
      <c r="M71" s="135">
        <v>0</v>
      </c>
      <c r="N71" s="135">
        <v>0</v>
      </c>
      <c r="O71" s="108">
        <v>0</v>
      </c>
      <c r="P71" s="135">
        <f>IF(H71&lt;I71,0,H71-I71)</f>
        <v>0</v>
      </c>
      <c r="Q71" s="135">
        <f>N71+P71-M71-K71-J71</f>
        <v>-3068.9060913526523</v>
      </c>
      <c r="R71" s="135">
        <f>'Analysis (A)'!Q71+'Analysis (Nothing)'!D32</f>
        <v>246.99432062067535</v>
      </c>
      <c r="S71" s="135">
        <f>IF(M71&lt;&gt;0,M71/2,IF(M70&lt;&gt;0,M70/2,0))</f>
        <v>0</v>
      </c>
      <c r="T71" s="135">
        <f>U70*Configurations!$G$6</f>
        <v>1.2150665206900069</v>
      </c>
      <c r="U71" s="135">
        <f>U70+S71-T71</f>
        <v>2.8351552149433497</v>
      </c>
      <c r="V71" s="135">
        <f>IF(R71&lt;0, 0,IF(R71-T71&lt;0,0,R71-T71))</f>
        <v>245.77925409998534</v>
      </c>
      <c r="W71" s="135">
        <f>V71*Constants!$D$23</f>
        <v>24.577925409998535</v>
      </c>
      <c r="X71" s="135">
        <f>R71-W71</f>
        <v>222.41639521067682</v>
      </c>
      <c r="Y71" s="130">
        <f>X71*(1+Constants!$D$20)^-F71</f>
        <v>130.30532390669518</v>
      </c>
    </row>
    <row r="72" spans="6:25">
      <c r="F72" s="132">
        <v>28</v>
      </c>
      <c r="G72" s="139">
        <f>G71*(1-Constants!$D$11)</f>
        <v>0.86905299554526017</v>
      </c>
      <c r="H72" s="134">
        <f>$C$17*(G72-Constants!$N$16)</f>
        <v>615.04870449594387</v>
      </c>
      <c r="I72" s="134">
        <f>Consumption!$C$2-'Analysis (A)'!H72</f>
        <v>7684.9512955040564</v>
      </c>
      <c r="J72" s="135">
        <f>I72*'Grid Power'!K45</f>
        <v>3217.4932430606864</v>
      </c>
      <c r="K72" s="135">
        <v>0</v>
      </c>
      <c r="L72" s="136">
        <f>L71*(1+Constants!$D$20)</f>
        <v>6.9640968246957122</v>
      </c>
      <c r="M72" s="135">
        <v>0</v>
      </c>
      <c r="N72" s="135">
        <v>0</v>
      </c>
      <c r="O72" s="108">
        <v>0</v>
      </c>
      <c r="P72" s="135">
        <f>IF(H72&lt;I72,0,H72-I72)</f>
        <v>0</v>
      </c>
      <c r="Q72" s="135">
        <f>N72+P72-M72-K72-J72</f>
        <v>-3217.4932430606864</v>
      </c>
      <c r="R72" s="135">
        <f>'Analysis (A)'!Q72+'Analysis (Nothing)'!D33</f>
        <v>257.52196396566069</v>
      </c>
      <c r="S72" s="135">
        <f>IF(M72&lt;&gt;0,M72/2,IF(M71&lt;&gt;0,M71/2,0))</f>
        <v>0</v>
      </c>
      <c r="T72" s="135">
        <f>U71*Configurations!$G$6</f>
        <v>0.85054656448300492</v>
      </c>
      <c r="U72" s="135">
        <f>U71+S72-T72</f>
        <v>1.9846086504603448</v>
      </c>
      <c r="V72" s="135">
        <f>IF(R72&lt;0, 0,IF(R72-T72&lt;0,0,R72-T72))</f>
        <v>256.67141740117768</v>
      </c>
      <c r="W72" s="135">
        <f>V72*Constants!$D$23</f>
        <v>25.667141740117771</v>
      </c>
      <c r="X72" s="135">
        <f>R72-W72</f>
        <v>231.85482222554293</v>
      </c>
      <c r="Y72" s="130">
        <f>X72*(1+Constants!$D$20)^-F72</f>
        <v>133.17150985227647</v>
      </c>
    </row>
    <row r="73" spans="6:25">
      <c r="F73" s="132">
        <v>29</v>
      </c>
      <c r="G73" s="139">
        <f>G72*(1-Constants!$D$11)</f>
        <v>0.86470773056753381</v>
      </c>
      <c r="H73" s="134">
        <f>$C$17*(G73-Constants!$N$16)</f>
        <v>611.90102159597848</v>
      </c>
      <c r="I73" s="134">
        <f>Consumption!$C$2-'Analysis (A)'!H73</f>
        <v>7688.0989784040212</v>
      </c>
      <c r="J73" s="135">
        <f>I73*'Grid Power'!K46</f>
        <v>3373.5076258433805</v>
      </c>
      <c r="K73" s="135">
        <v>0</v>
      </c>
      <c r="L73" s="136">
        <f>L72*(1+Constants!$D$20)</f>
        <v>7.1033787611896262</v>
      </c>
      <c r="M73" s="135">
        <v>0</v>
      </c>
      <c r="N73" s="135">
        <v>0</v>
      </c>
      <c r="O73" s="108">
        <v>0</v>
      </c>
      <c r="P73" s="135">
        <f>IF(H73&lt;I73,0,H73-I73)</f>
        <v>0</v>
      </c>
      <c r="Q73" s="135">
        <f>N73+P73-M73-K73-J73</f>
        <v>-3373.5076258433805</v>
      </c>
      <c r="R73" s="135">
        <f>'Analysis (A)'!Q73+'Analysis (Nothing)'!D34</f>
        <v>268.5173160126219</v>
      </c>
      <c r="S73" s="135">
        <f>IF(M73&lt;&gt;0,M73/2,IF(M72&lt;&gt;0,M72/2,0))</f>
        <v>0</v>
      </c>
      <c r="T73" s="135">
        <f>U72*Configurations!$G$6</f>
        <v>0.59538259513810343</v>
      </c>
      <c r="U73" s="135">
        <f>U72+S73-T73</f>
        <v>1.3892260553222413</v>
      </c>
      <c r="V73" s="135">
        <f>IF(R73&lt;0, 0,IF(R73-T73&lt;0,0,R73-T73))</f>
        <v>267.92193341748379</v>
      </c>
      <c r="W73" s="135">
        <f>V73*Constants!$D$23</f>
        <v>26.79219334174838</v>
      </c>
      <c r="X73" s="135">
        <f>R73-W73</f>
        <v>241.72512267087353</v>
      </c>
      <c r="Y73" s="130">
        <f>X73*(1+Constants!$D$20)^-F73</f>
        <v>136.1183914289212</v>
      </c>
    </row>
    <row r="74" spans="6:25">
      <c r="F74" s="132">
        <v>30</v>
      </c>
      <c r="G74" s="139">
        <f>G73*(1-Constants!$D$11)</f>
        <v>0.86038419191469617</v>
      </c>
      <c r="H74" s="134">
        <f>$C$17*(G74-Constants!$N$16)</f>
        <v>608.76907711051297</v>
      </c>
      <c r="I74" s="134">
        <f>Consumption!$C$2-'Analysis (A)'!H74</f>
        <v>7691.2309228894874</v>
      </c>
      <c r="J74" s="135">
        <f>I74*'Grid Power'!K47</f>
        <v>3537.3259282537606</v>
      </c>
      <c r="K74" s="135">
        <v>0</v>
      </c>
      <c r="L74" s="136">
        <f>L73*(1+Constants!$D$20)</f>
        <v>7.2454463364134192</v>
      </c>
      <c r="M74" s="135">
        <f>IF(MOD(F74,Configurations!$I$7)=0,Configurations!$C$16,0)</f>
        <v>942.375</v>
      </c>
      <c r="N74" s="135">
        <v>0</v>
      </c>
      <c r="O74" s="108">
        <v>0</v>
      </c>
      <c r="P74" s="135">
        <f>IF(H74&lt;I74,0,H74-I74)</f>
        <v>0</v>
      </c>
      <c r="Q74" s="135">
        <f>N74+P74-M74-K74-J74</f>
        <v>-4479.7009282537601</v>
      </c>
      <c r="R74" s="135">
        <f>'Analysis (A)'!Q74+'Analysis (Nothing)'!D35</f>
        <v>-662.37350798782109</v>
      </c>
      <c r="S74" s="135">
        <f>IF(M74&lt;&gt;0,M74/2,IF(M73&lt;&gt;0,M73/2,0))</f>
        <v>471.1875</v>
      </c>
      <c r="T74" s="135">
        <f>U73*Configurations!$G$6</f>
        <v>0.41676781659667239</v>
      </c>
      <c r="U74" s="135">
        <f>U73+S74-T74</f>
        <v>472.15995823872555</v>
      </c>
      <c r="V74" s="135">
        <f>IF(R74&lt;0, 0,IF(R74-T74&lt;0,0,R74-T74))</f>
        <v>0</v>
      </c>
      <c r="W74" s="135">
        <f>V74*Constants!$D$23</f>
        <v>0</v>
      </c>
      <c r="X74" s="135">
        <f>R74-W74</f>
        <v>-662.37350798782109</v>
      </c>
      <c r="Y74" s="130">
        <f>X74*(1+Constants!$D$20)^-F74</f>
        <v>-365.67713139157922</v>
      </c>
    </row>
    <row r="75" spans="6:25">
      <c r="F75" s="132">
        <v>31</v>
      </c>
      <c r="G75" s="139">
        <f>G74*(1-Constants!$D$11)</f>
        <v>0.85608227095512268</v>
      </c>
      <c r="H75" s="134">
        <f>$C$17*(G75-Constants!$N$16)</f>
        <v>605.65279234747481</v>
      </c>
      <c r="I75" s="134">
        <f>Consumption!$C$2-'Analysis (A)'!H75</f>
        <v>7694.347207652525</v>
      </c>
      <c r="J75" s="135">
        <f>I75*'Grid Power'!K48</f>
        <v>3709.3440615896279</v>
      </c>
      <c r="K75" s="135">
        <v>0</v>
      </c>
      <c r="L75" s="136">
        <f>L74*(1+Constants!$D$20)</f>
        <v>7.3903552631416876</v>
      </c>
      <c r="M75" s="135">
        <v>0</v>
      </c>
      <c r="N75" s="135">
        <v>0</v>
      </c>
      <c r="O75" s="108">
        <v>0</v>
      </c>
      <c r="P75" s="135">
        <f>IF(H75&lt;I75,0,H75-I75)</f>
        <v>0</v>
      </c>
      <c r="Q75" s="135">
        <f>N75+P75-L75-K75-J75</f>
        <v>-3716.7344168527698</v>
      </c>
      <c r="R75" s="135">
        <f>'Analysis (A)'!Q75+'Analysis (Nothing)'!D36</f>
        <v>284.60621076226971</v>
      </c>
      <c r="S75" s="135">
        <f>IF(L75&lt;&gt;0,L75/2,IF(M74&lt;&gt;0,M74/2,0))</f>
        <v>3.6951776315708438</v>
      </c>
      <c r="T75" s="135">
        <f>U74*Configurations!$G$6</f>
        <v>141.64798747161765</v>
      </c>
      <c r="U75" s="135">
        <f>U74+S75-T75</f>
        <v>334.20714839867878</v>
      </c>
      <c r="V75" s="135">
        <f>IF(R75&lt;0, 0,IF(R75-T75&lt;0,0,R75-T75))</f>
        <v>142.95822329065206</v>
      </c>
      <c r="W75" s="135">
        <f>V75*Constants!$D$23</f>
        <v>14.295822329065206</v>
      </c>
      <c r="X75" s="135">
        <f>R75-W75</f>
        <v>270.31038843320448</v>
      </c>
      <c r="Y75" s="130">
        <f>X75*(1+Constants!$D$20)^-F75</f>
        <v>146.30440827727898</v>
      </c>
    </row>
    <row r="76" spans="6:25">
      <c r="F76" s="132">
        <v>32</v>
      </c>
      <c r="G76" s="139">
        <f>G75*(1-Constants!$D$11)</f>
        <v>0.85180185960034704</v>
      </c>
      <c r="H76" s="134">
        <f>$C$17*(G76-Constants!$N$16)</f>
        <v>602.55208900825176</v>
      </c>
      <c r="I76" s="134">
        <f>Consumption!$C$2-'Analysis (A)'!H76</f>
        <v>7697.4479109917484</v>
      </c>
      <c r="J76" s="135">
        <f>I76*'Grid Power'!K49</f>
        <v>3889.9781431926785</v>
      </c>
      <c r="K76" s="135">
        <v>0</v>
      </c>
      <c r="L76" s="136">
        <f>L75*(1+Constants!$D$20)</f>
        <v>7.5381623684045218</v>
      </c>
      <c r="M76" s="135">
        <v>0</v>
      </c>
      <c r="N76" s="135">
        <v>0</v>
      </c>
      <c r="O76" s="108">
        <v>0</v>
      </c>
      <c r="P76" s="135">
        <f>IF(H76&lt;I76,0,H76-I76)</f>
        <v>0</v>
      </c>
      <c r="Q76" s="135">
        <f>N76+P76-L76-K76-J76</f>
        <v>-3897.5163055610828</v>
      </c>
      <c r="R76" s="135">
        <f>'Analysis (A)'!Q76+'Analysis (Nothing)'!D37</f>
        <v>296.9874521740021</v>
      </c>
      <c r="S76" s="135">
        <f t="shared" ref="S73:S84" si="11">IF(L76&lt;&gt;0,L76/2,IF(L75&lt;&gt;0,L75/2,0))</f>
        <v>3.7690811842022609</v>
      </c>
      <c r="T76" s="135">
        <f>U75*Configurations!$G$6</f>
        <v>100.26214451960364</v>
      </c>
      <c r="U76" s="135">
        <f>U75+S76-T76</f>
        <v>237.71408506327742</v>
      </c>
      <c r="V76" s="135">
        <f>IF(R76&lt;0, 0,IF(R76-T76&lt;0,0,R76-T76))</f>
        <v>196.72530765439848</v>
      </c>
      <c r="W76" s="135">
        <f>V76*Constants!$D$23</f>
        <v>19.672530765439848</v>
      </c>
      <c r="X76" s="135">
        <f>R76-W76</f>
        <v>277.31492140856227</v>
      </c>
      <c r="Y76" s="130">
        <f>X76*(1+Constants!$D$20)^-F76</f>
        <v>147.15253286180257</v>
      </c>
    </row>
    <row r="77" spans="6:25">
      <c r="F77" s="132">
        <v>33</v>
      </c>
      <c r="G77" s="139">
        <f>G76*(1-Constants!$D$11)</f>
        <v>0.84754285030234533</v>
      </c>
      <c r="H77" s="134">
        <f>$C$17*(G77-Constants!$N$16)</f>
        <v>599.46688918572488</v>
      </c>
      <c r="I77" s="134">
        <f>Consumption!$C$2-'Analysis (A)'!H77</f>
        <v>7700.5331108142755</v>
      </c>
      <c r="J77" s="135">
        <f>I77*'Grid Power'!K50</f>
        <v>4079.6655300839143</v>
      </c>
      <c r="K77" s="135">
        <v>0</v>
      </c>
      <c r="L77" s="136">
        <f>L76*(1+Constants!$D$20)</f>
        <v>7.6889256157726127</v>
      </c>
      <c r="M77" s="135">
        <v>0</v>
      </c>
      <c r="N77" s="135">
        <v>0</v>
      </c>
      <c r="O77" s="108">
        <v>0</v>
      </c>
      <c r="P77" s="135">
        <f>IF(H77&lt;I77,0,H77-I77)</f>
        <v>0</v>
      </c>
      <c r="Q77" s="135">
        <f>N77+P77-L77-K77-J77</f>
        <v>-4087.3544556996867</v>
      </c>
      <c r="R77" s="135">
        <f>'Analysis (A)'!Q77+'Analysis (Nothing)'!D38</f>
        <v>309.92383647002316</v>
      </c>
      <c r="S77" s="135">
        <f t="shared" si="11"/>
        <v>3.8444628078863063</v>
      </c>
      <c r="T77" s="135">
        <f>U76*Configurations!$G$6</f>
        <v>71.314225518983221</v>
      </c>
      <c r="U77" s="135">
        <f>U76+S77-T77</f>
        <v>170.24432235218052</v>
      </c>
      <c r="V77" s="135">
        <f>IF(R77&lt;0, 0,IF(R77-T77&lt;0,0,R77-T77))</f>
        <v>238.60961095103994</v>
      </c>
      <c r="W77" s="135">
        <f>V77*Constants!$D$23</f>
        <v>23.860961095103995</v>
      </c>
      <c r="X77" s="135">
        <f>R77-W77</f>
        <v>286.06287537491914</v>
      </c>
      <c r="Y77" s="130">
        <f>X77*(1+Constants!$D$20)^-F77</f>
        <v>148.81812605293342</v>
      </c>
    </row>
    <row r="78" spans="6:25">
      <c r="F78" s="132">
        <v>34</v>
      </c>
      <c r="G78" s="139">
        <f>G77*(1-Constants!$D$11)</f>
        <v>0.84330513605083357</v>
      </c>
      <c r="H78" s="134">
        <f>$C$17*(G78-Constants!$N$16)</f>
        <v>596.39711536231061</v>
      </c>
      <c r="I78" s="134">
        <f>Consumption!$C$2-'Analysis (A)'!H78</f>
        <v>7703.6028846376894</v>
      </c>
      <c r="J78" s="135">
        <f>I78*'Grid Power'!K51</f>
        <v>4278.8659055122971</v>
      </c>
      <c r="K78" s="135">
        <v>0</v>
      </c>
      <c r="L78" s="136">
        <f>L77*(1+Constants!$D$20)</f>
        <v>7.8427041280880649</v>
      </c>
      <c r="M78" s="135">
        <v>0</v>
      </c>
      <c r="N78" s="135">
        <v>0</v>
      </c>
      <c r="O78" s="108">
        <v>0</v>
      </c>
      <c r="P78" s="135">
        <f>IF(H78&lt;I78,0,H78-I78)</f>
        <v>0</v>
      </c>
      <c r="Q78" s="135">
        <f>N78+P78-L78-K78-J78</f>
        <v>-4286.7086096403855</v>
      </c>
      <c r="R78" s="135">
        <f>'Analysis (A)'!Q78+'Analysis (Nothing)'!D39</f>
        <v>323.44052476149773</v>
      </c>
      <c r="S78" s="135">
        <f t="shared" si="11"/>
        <v>3.9213520640440325</v>
      </c>
      <c r="T78" s="135">
        <f>U77*Configurations!$G$6</f>
        <v>51.073296705654151</v>
      </c>
      <c r="U78" s="135">
        <f>U77+S78-T78</f>
        <v>123.09237771057042</v>
      </c>
      <c r="V78" s="135">
        <f>IF(R78&lt;0, 0,IF(R78-T78&lt;0,0,R78-T78))</f>
        <v>272.36722805584355</v>
      </c>
      <c r="W78" s="135">
        <f>V78*Constants!$D$23</f>
        <v>27.236722805584357</v>
      </c>
      <c r="X78" s="135">
        <f>R78-W78</f>
        <v>296.20380195591338</v>
      </c>
      <c r="Y78" s="130">
        <f>X78*(1+Constants!$D$20)^-F78</f>
        <v>151.07228176316463</v>
      </c>
    </row>
    <row r="79" spans="6:25">
      <c r="F79" s="132">
        <v>35</v>
      </c>
      <c r="G79" s="139">
        <f>G78*(1-Constants!$D$11)</f>
        <v>0.83908861037057936</v>
      </c>
      <c r="H79" s="134">
        <f>$C$17*(G79-Constants!$N$16)</f>
        <v>593.34269040801348</v>
      </c>
      <c r="I79" s="134">
        <f>Consumption!$C$2-'Analysis (A)'!H79</f>
        <v>7706.6573095919866</v>
      </c>
      <c r="J79" s="135">
        <f>I79*'Grid Power'!K52</f>
        <v>4488.0624211254944</v>
      </c>
      <c r="K79" s="135">
        <v>0</v>
      </c>
      <c r="L79" s="136">
        <f>L78*(1+Constants!$D$20)</f>
        <v>7.999558210649826</v>
      </c>
      <c r="M79" s="135">
        <v>0</v>
      </c>
      <c r="N79" s="135">
        <v>0</v>
      </c>
      <c r="O79" s="108">
        <v>0</v>
      </c>
      <c r="P79" s="135">
        <f>IF(H79&lt;I79,0,H79-I79)</f>
        <v>0</v>
      </c>
      <c r="Q79" s="135">
        <f>N79+P79-L79-K79-J79</f>
        <v>-4496.0619793361438</v>
      </c>
      <c r="R79" s="135">
        <f>'Analysis (A)'!Q79+'Analysis (Nothing)'!D40</f>
        <v>337.56382253704669</v>
      </c>
      <c r="S79" s="135">
        <f t="shared" si="11"/>
        <v>3.999779105324913</v>
      </c>
      <c r="T79" s="135">
        <f>U78*Configurations!$G$6</f>
        <v>36.927713313171125</v>
      </c>
      <c r="U79" s="135">
        <f>U78+S79-T79</f>
        <v>90.164443502724211</v>
      </c>
      <c r="V79" s="135">
        <f>IF(R79&lt;0, 0,IF(R79-T79&lt;0,0,R79-T79))</f>
        <v>300.63610922387556</v>
      </c>
      <c r="W79" s="135">
        <f>V79*Constants!$D$23</f>
        <v>30.063610922387557</v>
      </c>
      <c r="X79" s="135">
        <f>R79-W79</f>
        <v>307.50021161465912</v>
      </c>
      <c r="Y79" s="130">
        <f>X79*(1+Constants!$D$20)^-F79</f>
        <v>153.75859692115688</v>
      </c>
    </row>
    <row r="80" spans="6:25">
      <c r="F80" s="132">
        <v>36</v>
      </c>
      <c r="G80" s="139">
        <f>G79*(1-Constants!$D$11)</f>
        <v>0.83489316731872643</v>
      </c>
      <c r="H80" s="134">
        <f>$C$17*(G80-Constants!$N$16)</f>
        <v>590.30353757848775</v>
      </c>
      <c r="I80" s="134">
        <f>Consumption!$C$2-'Analysis (A)'!H80</f>
        <v>7709.6964624215125</v>
      </c>
      <c r="J80" s="135">
        <f>I80*'Grid Power'!K53</f>
        <v>4707.7628976101914</v>
      </c>
      <c r="K80" s="135">
        <v>0</v>
      </c>
      <c r="L80" s="136">
        <f>L79*(1+Constants!$D$20)</f>
        <v>8.1595493748628218</v>
      </c>
      <c r="M80" s="135">
        <v>0</v>
      </c>
      <c r="N80" s="135">
        <v>0</v>
      </c>
      <c r="O80" s="108">
        <v>0</v>
      </c>
      <c r="P80" s="135">
        <f>IF(H80&lt;I80,0,H80-I80)</f>
        <v>0</v>
      </c>
      <c r="Q80" s="135">
        <f>N80+P80-L80-K80-J80</f>
        <v>-4715.9224469850542</v>
      </c>
      <c r="R80" s="135">
        <f>'Analysis (A)'!Q80+'Analysis (Nothing)'!D41</f>
        <v>352.32123175605193</v>
      </c>
      <c r="S80" s="135">
        <f t="shared" si="11"/>
        <v>4.0797746874314109</v>
      </c>
      <c r="T80" s="135">
        <f>U79*Configurations!$G$6</f>
        <v>27.049333050817264</v>
      </c>
      <c r="U80" s="135">
        <f>U79+S80-T80</f>
        <v>67.194885139338353</v>
      </c>
      <c r="V80" s="135">
        <f>IF(R80&lt;0, 0,IF(R80-T80&lt;0,0,R80-T80))</f>
        <v>325.27189870523466</v>
      </c>
      <c r="W80" s="135">
        <f>V80*Constants!$D$23</f>
        <v>32.527189870523465</v>
      </c>
      <c r="X80" s="135">
        <f>R80-W80</f>
        <v>319.79404188552849</v>
      </c>
      <c r="Y80" s="130">
        <f>X80*(1+Constants!$D$20)^-F80</f>
        <v>156.7704426770039</v>
      </c>
    </row>
    <row r="81" spans="6:25">
      <c r="F81" s="132">
        <v>37</v>
      </c>
      <c r="G81" s="139">
        <f>G80*(1-Constants!$D$11)</f>
        <v>0.83071870148213278</v>
      </c>
      <c r="H81" s="134">
        <f>$C$17*(G81-Constants!$N$16)</f>
        <v>587.27958051310975</v>
      </c>
      <c r="I81" s="134">
        <f>Consumption!$C$2-'Analysis (A)'!H81</f>
        <v>7712.72041948689</v>
      </c>
      <c r="J81" s="135">
        <f>I81*'Grid Power'!K54</f>
        <v>4938.5010867952096</v>
      </c>
      <c r="K81" s="135">
        <v>0</v>
      </c>
      <c r="L81" s="136">
        <f>L80*(1+Constants!$D$20)</f>
        <v>8.3227403623600793</v>
      </c>
      <c r="M81" s="135">
        <v>0</v>
      </c>
      <c r="N81" s="135">
        <v>0</v>
      </c>
      <c r="O81" s="108">
        <v>0</v>
      </c>
      <c r="P81" s="135">
        <f>IF(H81&lt;I81,0,H81-I81)</f>
        <v>0</v>
      </c>
      <c r="Q81" s="135">
        <f>N81+P81-L81-K81-J81</f>
        <v>-4946.8238271575701</v>
      </c>
      <c r="R81" s="135">
        <f>'Analysis (A)'!Q81+'Analysis (Nothing)'!D42</f>
        <v>367.74150531310625</v>
      </c>
      <c r="S81" s="135">
        <f t="shared" si="11"/>
        <v>4.1613701811800397</v>
      </c>
      <c r="T81" s="135">
        <f>U80*Configurations!$G$6</f>
        <v>20.158465541801505</v>
      </c>
      <c r="U81" s="135">
        <f>U80+S81-T81</f>
        <v>51.197789778716881</v>
      </c>
      <c r="V81" s="135">
        <f>IF(R81&lt;0, 0,IF(R81-T81&lt;0,0,R81-T81))</f>
        <v>347.58303977130475</v>
      </c>
      <c r="W81" s="135">
        <f>V81*Constants!$D$23</f>
        <v>34.758303977130474</v>
      </c>
      <c r="X81" s="135">
        <f>R81-W81</f>
        <v>332.98320133597576</v>
      </c>
      <c r="Y81" s="130">
        <f>X81*(1+Constants!$D$20)^-F81</f>
        <v>160.03536664049051</v>
      </c>
    </row>
    <row r="82" spans="6:25">
      <c r="F82" s="132">
        <v>38</v>
      </c>
      <c r="G82" s="139">
        <f>G81*(1-Constants!$D$11)</f>
        <v>0.82656510797472216</v>
      </c>
      <c r="H82" s="134">
        <f>$C$17*(G82-Constants!$N$16)</f>
        <v>584.27074323305862</v>
      </c>
      <c r="I82" s="134">
        <f>Consumption!$C$2-'Analysis (A)'!H82</f>
        <v>7715.729256766941</v>
      </c>
      <c r="J82" s="135">
        <f>I82*'Grid Power'!K55</f>
        <v>5180.8379983638697</v>
      </c>
      <c r="K82" s="135">
        <v>0</v>
      </c>
      <c r="L82" s="136">
        <f>L81*(1+Constants!$D$20)</f>
        <v>8.4891951696072816</v>
      </c>
      <c r="M82" s="135">
        <v>0</v>
      </c>
      <c r="N82" s="135">
        <v>0</v>
      </c>
      <c r="O82" s="108">
        <v>0</v>
      </c>
      <c r="P82" s="135">
        <f>IF(H82&lt;I82,0,H82-I82)</f>
        <v>0</v>
      </c>
      <c r="Q82" s="135">
        <f>N82+P82-L82-K82-J82</f>
        <v>-5189.3271935334769</v>
      </c>
      <c r="R82" s="135">
        <f>'Analysis (A)'!Q82+'Analysis (Nothing)'!D43</f>
        <v>383.85470398148118</v>
      </c>
      <c r="S82" s="135">
        <f t="shared" si="11"/>
        <v>4.2445975848036408</v>
      </c>
      <c r="T82" s="135">
        <f>U81*Configurations!$G$6</f>
        <v>15.359336933615063</v>
      </c>
      <c r="U82" s="135">
        <f>U81+S82-T82</f>
        <v>40.083050429905462</v>
      </c>
      <c r="V82" s="135">
        <f>IF(R82&lt;0, 0,IF(R82-T82&lt;0,0,R82-T82))</f>
        <v>368.49536704786613</v>
      </c>
      <c r="W82" s="135">
        <f>V82*Constants!$D$23</f>
        <v>36.849536704786615</v>
      </c>
      <c r="X82" s="135">
        <f>R82-W82</f>
        <v>347.00516727669458</v>
      </c>
      <c r="Y82" s="130">
        <f>X82*(1+Constants!$D$20)^-F82</f>
        <v>163.50438897625094</v>
      </c>
    </row>
    <row r="83" spans="6:25">
      <c r="F83" s="132">
        <v>39</v>
      </c>
      <c r="G83" s="139">
        <f>G82*(1-Constants!$D$11)</f>
        <v>0.82243228243484856</v>
      </c>
      <c r="H83" s="134">
        <f>$C$17*(G83-Constants!$N$16)</f>
        <v>581.27695013940763</v>
      </c>
      <c r="I83" s="134">
        <f>Consumption!$C$2-'Analysis (A)'!H83</f>
        <v>7718.7230498605923</v>
      </c>
      <c r="J83" s="135">
        <f>I83*'Grid Power'!K56</f>
        <v>5435.3632944830415</v>
      </c>
      <c r="K83" s="135">
        <v>0</v>
      </c>
      <c r="L83" s="136">
        <f>L82*(1+Constants!$D$20)</f>
        <v>8.6589790729994274</v>
      </c>
      <c r="M83" s="135">
        <v>0</v>
      </c>
      <c r="N83" s="135">
        <v>0</v>
      </c>
      <c r="O83" s="108">
        <v>0</v>
      </c>
      <c r="P83" s="135">
        <f>IF(H83&lt;I83,0,H83-I83)</f>
        <v>0</v>
      </c>
      <c r="Q83" s="135">
        <f>N83+P83-L83-K83-J83</f>
        <v>-5444.022273556041</v>
      </c>
      <c r="R83" s="135">
        <f>'Analysis (A)'!Q83+'Analysis (Nothing)'!D44</f>
        <v>400.69225594839918</v>
      </c>
      <c r="S83" s="135">
        <f t="shared" si="11"/>
        <v>4.3294895364997137</v>
      </c>
      <c r="T83" s="135">
        <f>U82*Configurations!$G$6</f>
        <v>12.024915128971639</v>
      </c>
      <c r="U83" s="135">
        <f>U82+S83-T83</f>
        <v>32.387624837433535</v>
      </c>
      <c r="V83" s="135">
        <f>IF(R83&lt;0, 0,IF(R83-T83&lt;0,0,R83-T83))</f>
        <v>388.66734081942752</v>
      </c>
      <c r="W83" s="135">
        <f>V83*Constants!$D$23</f>
        <v>38.866734081942752</v>
      </c>
      <c r="X83" s="135">
        <f>R83-W83</f>
        <v>361.82552186645643</v>
      </c>
      <c r="Y83" s="130">
        <f>X83*(1+Constants!$D$20)^-F83</f>
        <v>167.14465703916861</v>
      </c>
    </row>
    <row r="84" spans="6:25">
      <c r="F84" s="140">
        <v>40</v>
      </c>
      <c r="G84" s="141">
        <f>G83*(1-Constants!$D$11)</f>
        <v>0.81832012102267426</v>
      </c>
      <c r="H84" s="142">
        <f>$C$17*(G84-Constants!$N$16)</f>
        <v>578.29812601122501</v>
      </c>
      <c r="I84" s="142">
        <f>Consumption!$C$2-'Analysis (A)'!H84</f>
        <v>7721.7018739887753</v>
      </c>
      <c r="J84" s="143">
        <f>I84*'Grid Power'!K57</f>
        <v>5702.6967558256547</v>
      </c>
      <c r="K84" s="143">
        <v>0</v>
      </c>
      <c r="L84" s="136">
        <f>L83*(1+Constants!$D$20)</f>
        <v>8.8321586544594162</v>
      </c>
      <c r="M84" s="135">
        <v>0</v>
      </c>
      <c r="N84" s="143">
        <v>0</v>
      </c>
      <c r="O84" s="108">
        <v>0</v>
      </c>
      <c r="P84" s="143">
        <f>U84</f>
        <v>27.087416713433186</v>
      </c>
      <c r="Q84" s="143">
        <f>N84+P84-L84-K84-J84</f>
        <v>-5684.4414977666811</v>
      </c>
      <c r="R84" s="135">
        <f>'Analysis (A)'!Q84+'Analysis (Nothing)'!D45</f>
        <v>445.3744357734613</v>
      </c>
      <c r="S84" s="143">
        <f t="shared" si="11"/>
        <v>4.4160793272297081</v>
      </c>
      <c r="T84" s="143">
        <f>U83*Configurations!$G$6</f>
        <v>9.7162874512300608</v>
      </c>
      <c r="U84" s="143">
        <f>U83+S84-T84</f>
        <v>27.087416713433186</v>
      </c>
      <c r="V84" s="143">
        <f>IF(R84&lt;0, 0,IF(R84-T84&lt;0,0,R84-T84))</f>
        <v>435.65814832223123</v>
      </c>
      <c r="W84" s="143">
        <f>V84*Constants!$D$23</f>
        <v>43.565814832223126</v>
      </c>
      <c r="X84" s="143">
        <f>R84-W84</f>
        <v>401.80862094123819</v>
      </c>
      <c r="Y84" s="138">
        <f>X84*(1+Constants!$D$20)^-F84</f>
        <v>181.97527316308464</v>
      </c>
    </row>
    <row r="86" spans="6:25">
      <c r="F86" s="120" t="s">
        <v>218</v>
      </c>
      <c r="G86" s="120"/>
      <c r="H86" s="120"/>
      <c r="I86" s="120"/>
      <c r="J86" s="120"/>
      <c r="K86" s="120"/>
      <c r="L86" s="120"/>
      <c r="M86" s="198"/>
      <c r="R86" s="154"/>
    </row>
    <row r="87" spans="6:25">
      <c r="F87" s="155" t="s">
        <v>186</v>
      </c>
      <c r="G87" s="155"/>
      <c r="H87" s="155"/>
      <c r="I87" s="155"/>
      <c r="J87" s="155"/>
      <c r="K87" s="155" t="s">
        <v>185</v>
      </c>
      <c r="L87" s="155"/>
      <c r="M87" s="206"/>
      <c r="R87" s="154"/>
    </row>
    <row r="88" spans="6:25">
      <c r="F88" s="155" t="str">
        <f>F4</f>
        <v>Year</v>
      </c>
      <c r="G88" s="156" t="str">
        <f>G5</f>
        <v>Solar efficiency</v>
      </c>
      <c r="H88" s="155" t="s">
        <v>182</v>
      </c>
      <c r="I88" s="124" t="s">
        <v>183</v>
      </c>
      <c r="J88" s="124" t="s">
        <v>184</v>
      </c>
      <c r="K88" s="155" t="s">
        <v>187</v>
      </c>
      <c r="L88" s="124" t="s">
        <v>181</v>
      </c>
      <c r="M88" s="206"/>
    </row>
    <row r="89" spans="6:25">
      <c r="F89" s="155"/>
      <c r="G89" s="156"/>
      <c r="H89" s="155"/>
      <c r="I89" s="124" t="s">
        <v>62</v>
      </c>
      <c r="J89" s="124" t="s">
        <v>59</v>
      </c>
      <c r="K89" s="155"/>
      <c r="L89" s="124" t="s">
        <v>59</v>
      </c>
      <c r="M89" s="206"/>
    </row>
    <row r="90" spans="6:25">
      <c r="F90" s="132">
        <v>0</v>
      </c>
      <c r="G90" s="133">
        <v>1</v>
      </c>
      <c r="H90" s="133">
        <f>1-G90</f>
        <v>0</v>
      </c>
      <c r="I90" s="157">
        <f>H90*$C$17</f>
        <v>0</v>
      </c>
      <c r="J90" s="135">
        <f>I90*'Grid Power'!K17</f>
        <v>0</v>
      </c>
      <c r="K90" s="147">
        <f>F90</f>
        <v>0</v>
      </c>
      <c r="L90" s="158">
        <v>0</v>
      </c>
      <c r="M90" s="207"/>
    </row>
    <row r="91" spans="6:25">
      <c r="F91" s="132">
        <v>1</v>
      </c>
      <c r="G91" s="139">
        <f>G90*(1-Constants!$D$11)</f>
        <v>0.995</v>
      </c>
      <c r="H91" s="133">
        <f t="shared" ref="H91:H130" si="12">1-G91</f>
        <v>5.0000000000000044E-3</v>
      </c>
      <c r="I91" s="157">
        <f>H91*$C$17</f>
        <v>3.6219688742806997</v>
      </c>
      <c r="J91" s="135">
        <f>I91*'Grid Power'!K18</f>
        <v>0.44115814143534426</v>
      </c>
      <c r="K91" s="147">
        <f>F91</f>
        <v>1</v>
      </c>
      <c r="L91" s="158">
        <f>PMT(3%,K91,-NPV(3%,$J$91:J91))+Configurations!$C$15/'Analysis (A)'!K91</f>
        <v>1000.0411581414354</v>
      </c>
      <c r="M91" s="207"/>
      <c r="N91" s="159">
        <f>MIN($L$91:$L$130)</f>
        <v>45.770619885509873</v>
      </c>
    </row>
    <row r="92" spans="6:25">
      <c r="F92" s="132">
        <v>2</v>
      </c>
      <c r="G92" s="139">
        <f>G91*(1-Constants!$D$11)</f>
        <v>0.99002500000000004</v>
      </c>
      <c r="H92" s="133">
        <f t="shared" si="12"/>
        <v>9.9749999999999561E-3</v>
      </c>
      <c r="I92" s="157">
        <f>H92*$C$17</f>
        <v>7.2258279041899582</v>
      </c>
      <c r="J92" s="135">
        <f>I92*'Grid Power'!K19</f>
        <v>0.92005397800335353</v>
      </c>
      <c r="K92" s="147">
        <f t="shared" ref="K92:K130" si="13">F92</f>
        <v>2</v>
      </c>
      <c r="L92" s="158">
        <f>PMT(3%,K92,-NPV(3%,$J$91:J92))+Configurations!$C$15/'Analysis (A)'!K92</f>
        <v>500.47706742053288</v>
      </c>
      <c r="M92" s="207"/>
      <c r="N92" s="159">
        <f t="shared" ref="N92:N130" si="14">MIN($L$91:$L$130)</f>
        <v>45.770619885509873</v>
      </c>
    </row>
    <row r="93" spans="6:25">
      <c r="F93" s="132">
        <v>3</v>
      </c>
      <c r="G93" s="139">
        <f>G92*(1-Constants!$D$11)</f>
        <v>0.98507487500000002</v>
      </c>
      <c r="H93" s="133">
        <f t="shared" si="12"/>
        <v>1.4925124999999984E-2</v>
      </c>
      <c r="I93" s="157">
        <f>H93*$C$17</f>
        <v>10.811667638949725</v>
      </c>
      <c r="J93" s="135">
        <f>I93*'Grid Power'!K20</f>
        <v>1.4392845731043669</v>
      </c>
      <c r="K93" s="147">
        <f t="shared" si="13"/>
        <v>3</v>
      </c>
      <c r="L93" s="158">
        <f>PMT(3%,K93,-NPV(3%,$J$91:J93))+Configurations!$C$15/'Analysis (A)'!K93</f>
        <v>334.12366781283657</v>
      </c>
      <c r="M93" s="207"/>
      <c r="N93" s="159">
        <f t="shared" si="14"/>
        <v>45.770619885509873</v>
      </c>
    </row>
    <row r="94" spans="6:25">
      <c r="F94" s="132">
        <v>4</v>
      </c>
      <c r="G94" s="139">
        <f>G93*(1-Constants!$D$11)</f>
        <v>0.98014950062500006</v>
      </c>
      <c r="H94" s="133">
        <f t="shared" si="12"/>
        <v>1.9850499374999941E-2</v>
      </c>
      <c r="I94" s="157">
        <f>H94*$C$17</f>
        <v>14.379578175035642</v>
      </c>
      <c r="J94" s="135">
        <f>I94*'Grid Power'!K21</f>
        <v>2.0016110789417412</v>
      </c>
      <c r="K94" s="147">
        <f t="shared" si="13"/>
        <v>4</v>
      </c>
      <c r="L94" s="158">
        <f>PMT(3%,K94,-NPV(3%,$J$91:J94))+Configurations!$C$15/'Analysis (A)'!K94</f>
        <v>251.08132540661947</v>
      </c>
      <c r="M94" s="207"/>
      <c r="N94" s="159">
        <f t="shared" si="14"/>
        <v>45.770619885509873</v>
      </c>
    </row>
    <row r="95" spans="6:25">
      <c r="F95" s="132">
        <v>5</v>
      </c>
      <c r="G95" s="139">
        <f>G94*(1-Constants!$D$11)</f>
        <v>0.97524875312187509</v>
      </c>
      <c r="H95" s="133">
        <f t="shared" si="12"/>
        <v>2.4751246878124911E-2</v>
      </c>
      <c r="I95" s="157">
        <f>H95*$C$17</f>
        <v>17.929649158441137</v>
      </c>
      <c r="J95" s="135">
        <f>I95*'Grid Power'!K22</f>
        <v>2.6099685956527594</v>
      </c>
      <c r="K95" s="147">
        <f t="shared" si="13"/>
        <v>5</v>
      </c>
      <c r="L95" s="158">
        <f>PMT(3%,K95,-NPV(3%,$J$91:J95))+Configurations!$C$15/'Analysis (A)'!K95</f>
        <v>201.3704168821742</v>
      </c>
      <c r="M95" s="207"/>
      <c r="N95" s="159">
        <f t="shared" si="14"/>
        <v>45.770619885509873</v>
      </c>
    </row>
    <row r="96" spans="6:25">
      <c r="F96" s="132">
        <v>6</v>
      </c>
      <c r="G96" s="139">
        <f>G95*(1-Constants!$D$11)</f>
        <v>0.97037250935626573</v>
      </c>
      <c r="H96" s="133">
        <f t="shared" si="12"/>
        <v>2.9627490643734267E-2</v>
      </c>
      <c r="I96" s="157">
        <f>H96*$C$17</f>
        <v>21.461969786929615</v>
      </c>
      <c r="J96" s="135">
        <f>I96*'Grid Power'!K23</f>
        <v>3.2674766028003259</v>
      </c>
      <c r="K96" s="147">
        <f t="shared" si="13"/>
        <v>6</v>
      </c>
      <c r="L96" s="158">
        <f>PMT(3%,K96,-NPV(3%,$J$91:J96))+Configurations!$C$15/'Analysis (A)'!K96</f>
        <v>168.33132977315168</v>
      </c>
      <c r="M96" s="207"/>
      <c r="N96" s="159">
        <f t="shared" si="14"/>
        <v>45.770619885509873</v>
      </c>
    </row>
    <row r="97" spans="6:22">
      <c r="F97" s="132">
        <v>7</v>
      </c>
      <c r="G97" s="139">
        <f>G96*(1-Constants!$D$11)</f>
        <v>0.96552064680948435</v>
      </c>
      <c r="H97" s="133">
        <f t="shared" si="12"/>
        <v>3.4479353190515649E-2</v>
      </c>
      <c r="I97" s="157">
        <f>H97*$C$17</f>
        <v>24.976628812275703</v>
      </c>
      <c r="J97" s="135">
        <f>I97*'Grid Power'!K24</f>
        <v>3.9774499956340303</v>
      </c>
      <c r="K97" s="147">
        <f t="shared" si="13"/>
        <v>7</v>
      </c>
      <c r="L97" s="158">
        <f>PMT(3%,K97,-NPV(3%,$J$91:J97))+Configurations!$C$15/'Analysis (A)'!K97</f>
        <v>144.8244627334816</v>
      </c>
      <c r="M97" s="207"/>
      <c r="N97" s="159">
        <f t="shared" si="14"/>
        <v>45.770619885509873</v>
      </c>
    </row>
    <row r="98" spans="6:22">
      <c r="F98" s="132">
        <v>8</v>
      </c>
      <c r="G98" s="139">
        <f>G97*(1-Constants!$D$11)</f>
        <v>0.96069304357543694</v>
      </c>
      <c r="H98" s="133">
        <f t="shared" si="12"/>
        <v>3.9306956424563055E-2</v>
      </c>
      <c r="I98" s="157">
        <f>H98*$C$17</f>
        <v>28.47371454249501</v>
      </c>
      <c r="J98" s="135">
        <f>I98*'Grid Power'!K25</f>
        <v>4.7434107603299074</v>
      </c>
      <c r="K98" s="147">
        <f t="shared" si="13"/>
        <v>8</v>
      </c>
      <c r="L98" s="158">
        <f>PMT(3%,K98,-NPV(3%,$J$91:J98))+Configurations!$C$15/'Analysis (A)'!K98</f>
        <v>127.2802258099899</v>
      </c>
      <c r="M98" s="207"/>
      <c r="N98" s="159">
        <f t="shared" si="14"/>
        <v>45.770619885509873</v>
      </c>
    </row>
    <row r="99" spans="6:22">
      <c r="F99" s="132">
        <v>9</v>
      </c>
      <c r="G99" s="139">
        <f>G98*(1-Constants!$D$11)</f>
        <v>0.95588957835755972</v>
      </c>
      <c r="H99" s="133">
        <f t="shared" si="12"/>
        <v>4.4110421642440278E-2</v>
      </c>
      <c r="I99" s="157">
        <f>H99*$C$17</f>
        <v>31.953314844063257</v>
      </c>
      <c r="J99" s="135">
        <f>I99*'Grid Power'!K26</f>
        <v>5.569100324318069</v>
      </c>
      <c r="K99" s="147">
        <f t="shared" si="13"/>
        <v>9</v>
      </c>
      <c r="L99" s="158">
        <f>PMT(3%,K99,-NPV(3%,$J$91:J99))+Configurations!$C$15/'Analysis (A)'!K99</f>
        <v>113.71570738749952</v>
      </c>
      <c r="M99" s="207"/>
      <c r="N99" s="159">
        <f t="shared" si="14"/>
        <v>45.770619885509873</v>
      </c>
    </row>
    <row r="100" spans="6:22">
      <c r="F100" s="132">
        <v>10</v>
      </c>
      <c r="G100" s="139">
        <f>G99*(1-Constants!$D$11)</f>
        <v>0.95111013046577186</v>
      </c>
      <c r="H100" s="133">
        <f t="shared" si="12"/>
        <v>4.8889869534228136E-2</v>
      </c>
      <c r="I100" s="157">
        <f>H100*$C$17</f>
        <v>35.415517144123683</v>
      </c>
      <c r="J100" s="135">
        <f>I100*'Grid Power'!K27</f>
        <v>6.458492619810638</v>
      </c>
      <c r="K100" s="147">
        <f t="shared" si="13"/>
        <v>10</v>
      </c>
      <c r="L100" s="158">
        <f>PMT(3%,K100,-NPV(3%,$J$91:J100))+Configurations!$C$15/'Analysis (A)'!K100</f>
        <v>102.94134113986868</v>
      </c>
      <c r="M100" s="207"/>
      <c r="N100" s="159">
        <f t="shared" si="14"/>
        <v>45.770619885509873</v>
      </c>
    </row>
    <row r="101" spans="6:22">
      <c r="F101" s="132">
        <v>11</v>
      </c>
      <c r="G101" s="139">
        <f>G100*(1-Constants!$D$11)</f>
        <v>0.94635457981344295</v>
      </c>
      <c r="H101" s="133">
        <f t="shared" si="12"/>
        <v>5.3645420186557047E-2</v>
      </c>
      <c r="I101" s="157">
        <f>H101*$C$17</f>
        <v>38.860408432683798</v>
      </c>
      <c r="J101" s="135">
        <f>I101*'Grid Power'!K28</f>
        <v>7.4158079007560431</v>
      </c>
      <c r="K101" s="147">
        <f t="shared" si="13"/>
        <v>11</v>
      </c>
      <c r="L101" s="158">
        <f>PMT(3%,K101,-NPV(3%,$J$91:J101))+Configurations!$C$15/'Analysis (A)'!K101</f>
        <v>94.200300259819088</v>
      </c>
      <c r="M101" s="207"/>
      <c r="N101" s="159">
        <f t="shared" si="14"/>
        <v>45.770619885509873</v>
      </c>
    </row>
    <row r="102" spans="6:22">
      <c r="F102" s="132">
        <v>12</v>
      </c>
      <c r="G102" s="139">
        <f>G101*(1-Constants!$D$11)</f>
        <v>0.94162280691437572</v>
      </c>
      <c r="H102" s="133">
        <f t="shared" si="12"/>
        <v>5.8377193085624279E-2</v>
      </c>
      <c r="I102" s="157">
        <f>H102*$C$17</f>
        <v>42.288075264801087</v>
      </c>
      <c r="J102" s="135">
        <f>I102*'Grid Power'!K29</f>
        <v>8.4455273556741997</v>
      </c>
      <c r="K102" s="147">
        <f t="shared" si="13"/>
        <v>12</v>
      </c>
      <c r="L102" s="158">
        <f>PMT(3%,K102,-NPV(3%,$J$91:J102))+Configurations!$C$15/'Analysis (A)'!K102</f>
        <v>86.988194725257586</v>
      </c>
      <c r="M102" s="207"/>
      <c r="N102" s="159">
        <f t="shared" si="14"/>
        <v>45.770619885509873</v>
      </c>
    </row>
    <row r="103" spans="6:22">
      <c r="F103" s="132">
        <v>13</v>
      </c>
      <c r="G103" s="139">
        <f>G102*(1-Constants!$D$11)</f>
        <v>0.93691469287980389</v>
      </c>
      <c r="H103" s="133">
        <f t="shared" si="12"/>
        <v>6.308530712019611E-2</v>
      </c>
      <c r="I103" s="157">
        <f>H103*$C$17</f>
        <v>45.698603762757742</v>
      </c>
      <c r="J103" s="135">
        <f>I103*'Grid Power'!K30</f>
        <v>9.5524085611777885</v>
      </c>
      <c r="K103" s="147">
        <f t="shared" si="13"/>
        <v>13</v>
      </c>
      <c r="L103" s="158">
        <f>PMT(3%,K103,-NPV(3%,$J$91:J103))+Configurations!$C$15/'Analysis (A)'!K103</f>
        <v>80.95598535513578</v>
      </c>
      <c r="M103" s="207"/>
      <c r="N103" s="159">
        <f t="shared" si="14"/>
        <v>45.770619885509873</v>
      </c>
      <c r="U103" s="112"/>
      <c r="V103" s="112"/>
    </row>
    <row r="104" spans="6:22">
      <c r="F104" s="132">
        <v>14</v>
      </c>
      <c r="G104" s="139">
        <f>G103*(1-Constants!$D$11)</f>
        <v>0.9322301194154049</v>
      </c>
      <c r="H104" s="133">
        <f t="shared" si="12"/>
        <v>6.7769880584595099E-2</v>
      </c>
      <c r="I104" s="157">
        <f>H104*$C$17</f>
        <v>49.092079618224631</v>
      </c>
      <c r="J104" s="135">
        <f>I104*'Grid Power'!K31</f>
        <v>10.74150182346388</v>
      </c>
      <c r="K104" s="147">
        <f t="shared" si="13"/>
        <v>14</v>
      </c>
      <c r="L104" s="158">
        <f>PMT(3%,K104,-NPV(3%,$J$91:J104))+Configurations!$C$15/'Analysis (A)'!K104</f>
        <v>75.854506263373494</v>
      </c>
      <c r="M104" s="207"/>
      <c r="N104" s="159">
        <f t="shared" si="14"/>
        <v>45.770619885509873</v>
      </c>
      <c r="R104" s="108"/>
      <c r="V104" s="160"/>
    </row>
    <row r="105" spans="6:22">
      <c r="F105" s="132">
        <v>15</v>
      </c>
      <c r="G105" s="139">
        <f>G104*(1-Constants!$D$11)</f>
        <v>0.92756896881832784</v>
      </c>
      <c r="H105" s="133">
        <f t="shared" si="12"/>
        <v>7.2431031181672156E-2</v>
      </c>
      <c r="I105" s="157">
        <f>H105*$C$17</f>
        <v>52.46858809441423</v>
      </c>
      <c r="J105" s="135">
        <f>I105*'Grid Power'!K32</f>
        <v>12.018167457674199</v>
      </c>
      <c r="K105" s="147">
        <f t="shared" si="13"/>
        <v>15</v>
      </c>
      <c r="L105" s="158">
        <f>PMT(3%,K105,-NPV(3%,$J$91:J105))+Configurations!$C$15/'Analysis (A)'!K105</f>
        <v>71.50117846156634</v>
      </c>
      <c r="M105" s="207"/>
      <c r="N105" s="159">
        <f t="shared" si="14"/>
        <v>45.770619885509873</v>
      </c>
      <c r="V105" s="160"/>
    </row>
    <row r="106" spans="6:22">
      <c r="F106" s="132">
        <v>16</v>
      </c>
      <c r="G106" s="139">
        <f>G105*(1-Constants!$D$11)</f>
        <v>0.92293112397423616</v>
      </c>
      <c r="H106" s="133">
        <f t="shared" si="12"/>
        <v>7.7068876025763844E-2</v>
      </c>
      <c r="I106" s="157">
        <f>H106*$C$17</f>
        <v>55.828214028222888</v>
      </c>
      <c r="J106" s="135">
        <f>I106*'Grid Power'!K33</f>
        <v>13.38809405777951</v>
      </c>
      <c r="K106" s="147">
        <f t="shared" si="13"/>
        <v>16</v>
      </c>
      <c r="L106" s="158">
        <f>PMT(3%,K106,-NPV(3%,$J$91:J106))+Configurations!$C$15/'Analysis (A)'!K106</f>
        <v>67.759205985909617</v>
      </c>
      <c r="M106" s="207"/>
      <c r="N106" s="159">
        <f t="shared" si="14"/>
        <v>45.770619885509873</v>
      </c>
      <c r="V106" s="160"/>
    </row>
    <row r="107" spans="6:22">
      <c r="F107" s="132">
        <v>17</v>
      </c>
      <c r="G107" s="139">
        <f>G106*(1-Constants!$D$11)</f>
        <v>0.91831646835436498</v>
      </c>
      <c r="H107" s="133">
        <f t="shared" si="12"/>
        <v>8.1683531645635021E-2</v>
      </c>
      <c r="I107" s="157">
        <f>H107*$C$17</f>
        <v>59.171041832362469</v>
      </c>
      <c r="J107" s="135">
        <f>I107*'Grid Power'!K34</f>
        <v>14.857317812550715</v>
      </c>
      <c r="K107" s="147">
        <f t="shared" si="13"/>
        <v>17</v>
      </c>
      <c r="L107" s="158">
        <f>PMT(3%,K107,-NPV(3%,$J$91:J107))+Configurations!$C$15/'Analysis (A)'!K107</f>
        <v>64.524114688342777</v>
      </c>
      <c r="M107" s="207"/>
      <c r="N107" s="159">
        <f t="shared" si="14"/>
        <v>45.770619885509873</v>
      </c>
      <c r="R107" s="108"/>
      <c r="S107" s="108"/>
      <c r="V107" s="160"/>
    </row>
    <row r="108" spans="6:22">
      <c r="F108" s="132">
        <v>18</v>
      </c>
      <c r="G108" s="139">
        <f>G107*(1-Constants!$D$11)</f>
        <v>0.91372488601259316</v>
      </c>
      <c r="H108" s="133">
        <f t="shared" si="12"/>
        <v>8.6275113987406837E-2</v>
      </c>
      <c r="I108" s="157">
        <f>H108*$C$17</f>
        <v>62.497155497481344</v>
      </c>
      <c r="J108" s="135">
        <f>I108*'Grid Power'!K35</f>
        <v>16.432242926244918</v>
      </c>
      <c r="K108" s="147">
        <f t="shared" si="13"/>
        <v>18</v>
      </c>
      <c r="L108" s="158">
        <f>PMT(3%,K108,-NPV(3%,$J$91:J108))+Configurations!$C$15/'Analysis (A)'!K108</f>
        <v>61.714778214207222</v>
      </c>
      <c r="M108" s="207"/>
      <c r="N108" s="159">
        <f t="shared" si="14"/>
        <v>45.770619885509873</v>
      </c>
      <c r="R108" s="108"/>
      <c r="S108" s="108"/>
      <c r="V108" s="161"/>
    </row>
    <row r="109" spans="6:22">
      <c r="F109" s="132">
        <v>19</v>
      </c>
      <c r="G109" s="139">
        <f>G108*(1-Constants!$D$11)</f>
        <v>0.90915626158253016</v>
      </c>
      <c r="H109" s="133">
        <f t="shared" si="12"/>
        <v>9.0843738417469844E-2</v>
      </c>
      <c r="I109" s="157">
        <f>H109*$C$17</f>
        <v>65.806638594274659</v>
      </c>
      <c r="J109" s="135">
        <f>I109*'Grid Power'!K36</f>
        <v>18.119663205867379</v>
      </c>
      <c r="K109" s="147">
        <f t="shared" si="13"/>
        <v>19</v>
      </c>
      <c r="L109" s="158">
        <f>PMT(3%,K109,-NPV(3%,$J$91:J109))+Configurations!$C$15/'Analysis (A)'!K109</f>
        <v>59.267277995178439</v>
      </c>
      <c r="M109" s="207"/>
      <c r="N109" s="159">
        <f t="shared" si="14"/>
        <v>45.770619885509873</v>
      </c>
      <c r="R109" s="108"/>
      <c r="S109" s="108"/>
    </row>
    <row r="110" spans="6:22">
      <c r="F110" s="132">
        <v>20</v>
      </c>
      <c r="G110" s="139">
        <f>G109*(1-Constants!$D$11)</f>
        <v>0.90461048027461755</v>
      </c>
      <c r="H110" s="133">
        <f t="shared" si="12"/>
        <v>9.5389519725382454E-2</v>
      </c>
      <c r="I110" s="157">
        <f>H110*$C$17</f>
        <v>69.099574275583961</v>
      </c>
      <c r="J110" s="135">
        <f>I110*'Grid Power'!K37</f>
        <v>19.926784880279062</v>
      </c>
      <c r="K110" s="147">
        <f t="shared" si="13"/>
        <v>20</v>
      </c>
      <c r="L110" s="158">
        <f>PMT(3%,K110,-NPV(3%,$J$91:J110))+Configurations!$C$15/'Analysis (A)'!K110</f>
        <v>57.130605354793907</v>
      </c>
      <c r="M110" s="207"/>
      <c r="N110" s="159">
        <f t="shared" si="14"/>
        <v>45.770619885509873</v>
      </c>
      <c r="R110" s="108"/>
      <c r="S110" s="108"/>
    </row>
    <row r="111" spans="6:22">
      <c r="F111" s="132">
        <v>21</v>
      </c>
      <c r="G111" s="139">
        <f>G110*(1-Constants!$D$11)</f>
        <v>0.90008742787324447</v>
      </c>
      <c r="H111" s="133">
        <f t="shared" si="12"/>
        <v>9.9912572126755528E-2</v>
      </c>
      <c r="I111" s="157">
        <f>H111*$C$17</f>
        <v>72.376045278486728</v>
      </c>
      <c r="J111" s="135">
        <f>I111*'Grid Power'!K38</f>
        <v>21.861250720013594</v>
      </c>
      <c r="K111" s="147">
        <f t="shared" si="13"/>
        <v>21</v>
      </c>
      <c r="L111" s="158">
        <f>PMT(3%,K111,-NPV(3%,$J$91:J111))+Configurations!$C$15/'Analysis (A)'!K111</f>
        <v>55.263591691647846</v>
      </c>
      <c r="M111" s="207"/>
      <c r="N111" s="159">
        <f t="shared" si="14"/>
        <v>45.770619885509873</v>
      </c>
      <c r="R111" s="108"/>
      <c r="S111" s="108"/>
      <c r="U111" s="114"/>
      <c r="V111" s="162"/>
    </row>
    <row r="112" spans="6:22">
      <c r="F112" s="132">
        <v>22</v>
      </c>
      <c r="G112" s="139">
        <f>G111*(1-Constants!$D$11)</f>
        <v>0.89558699073387826</v>
      </c>
      <c r="H112" s="133">
        <f t="shared" si="12"/>
        <v>0.10441300926612174</v>
      </c>
      <c r="I112" s="157">
        <f>H112*$C$17</f>
        <v>75.636133926374981</v>
      </c>
      <c r="J112" s="135">
        <f>I112*'Grid Power'!K39</f>
        <v>23.931165530456905</v>
      </c>
      <c r="K112" s="147">
        <f t="shared" si="13"/>
        <v>22</v>
      </c>
      <c r="L112" s="158">
        <f>PMT(3%,K112,-NPV(3%,$J$91:J112))+Configurations!$C$15/'Analysis (A)'!K112</f>
        <v>53.632675990814342</v>
      </c>
      <c r="M112" s="207"/>
      <c r="N112" s="159">
        <f t="shared" si="14"/>
        <v>45.770619885509873</v>
      </c>
      <c r="R112" s="108"/>
      <c r="S112" s="108"/>
    </row>
    <row r="113" spans="6:19">
      <c r="F113" s="132">
        <v>23</v>
      </c>
      <c r="G113" s="139">
        <f>G112*(1-Constants!$D$11)</f>
        <v>0.89110905578020883</v>
      </c>
      <c r="H113" s="133">
        <f t="shared" si="12"/>
        <v>0.10889094421979117</v>
      </c>
      <c r="I113" s="157">
        <f>H113*$C$17</f>
        <v>78.879922131023832</v>
      </c>
      <c r="J113" s="135">
        <f>I113*'Grid Power'!K40</f>
        <v>26.145123095038755</v>
      </c>
      <c r="K113" s="147">
        <f t="shared" si="13"/>
        <v>23</v>
      </c>
      <c r="L113" s="158">
        <f>PMT(3%,K113,-NPV(3%,$J$91:J113))+Configurations!$C$15/'Analysis (A)'!K113</f>
        <v>52.210254826968907</v>
      </c>
      <c r="M113" s="207"/>
      <c r="N113" s="159">
        <f t="shared" si="14"/>
        <v>45.770619885509873</v>
      </c>
      <c r="R113" s="108"/>
      <c r="S113" s="108"/>
    </row>
    <row r="114" spans="6:19">
      <c r="F114" s="132">
        <v>24</v>
      </c>
      <c r="G114" s="139">
        <f>G113*(1-Constants!$D$11)</f>
        <v>0.88665351050130781</v>
      </c>
      <c r="H114" s="133">
        <f t="shared" si="12"/>
        <v>0.11334648949869219</v>
      </c>
      <c r="I114" s="157">
        <f>H114*$C$17</f>
        <v>82.107491394649387</v>
      </c>
      <c r="J114" s="135">
        <f>I114*'Grid Power'!K41</f>
        <v>28.512234649297746</v>
      </c>
      <c r="K114" s="147">
        <f t="shared" si="13"/>
        <v>24</v>
      </c>
      <c r="L114" s="158">
        <f>PMT(3%,K114,-NPV(3%,$J$91:J114))+Configurations!$C$15/'Analysis (A)'!K114</f>
        <v>50.973444968248408</v>
      </c>
      <c r="M114" s="207"/>
      <c r="N114" s="159">
        <f t="shared" si="14"/>
        <v>45.770619885509873</v>
      </c>
      <c r="R114" s="108"/>
      <c r="S114" s="108"/>
    </row>
    <row r="115" spans="6:19">
      <c r="F115" s="132">
        <v>25</v>
      </c>
      <c r="G115" s="139">
        <f>G114*(1-Constants!$D$11)</f>
        <v>0.8822202429488013</v>
      </c>
      <c r="H115" s="133">
        <f t="shared" si="12"/>
        <v>0.1177797570511987</v>
      </c>
      <c r="I115" s="157">
        <f>H115*$C$17</f>
        <v>85.31892281195681</v>
      </c>
      <c r="J115" s="135">
        <f>I115*'Grid Power'!K42</f>
        <v>31.042158971123214</v>
      </c>
      <c r="K115" s="147">
        <f t="shared" si="13"/>
        <v>25</v>
      </c>
      <c r="L115" s="158">
        <f>PMT(3%,K115,-NPV(3%,$J$91:J115))+Configurations!$C$15/'Analysis (A)'!K115</f>
        <v>49.903143055054962</v>
      </c>
      <c r="M115" s="207"/>
      <c r="N115" s="159">
        <f t="shared" si="14"/>
        <v>45.770619885509873</v>
      </c>
      <c r="R115" s="108"/>
      <c r="S115" s="108"/>
    </row>
    <row r="116" spans="6:19">
      <c r="F116" s="132">
        <v>26</v>
      </c>
      <c r="G116" s="139">
        <f>G115*(1-Constants!$D$11)</f>
        <v>0.87780914173405733</v>
      </c>
      <c r="H116" s="133">
        <f t="shared" si="12"/>
        <v>0.12219085826594267</v>
      </c>
      <c r="I116" s="157">
        <f>H116*$C$17</f>
        <v>88.514297072177698</v>
      </c>
      <c r="J116" s="135">
        <f>I116*'Grid Power'!K43</f>
        <v>33.745134177159649</v>
      </c>
      <c r="K116" s="147">
        <f t="shared" si="13"/>
        <v>26</v>
      </c>
      <c r="L116" s="158">
        <f>PMT(3%,K116,-NPV(3%,$J$91:J116))+Configurations!$C$15/'Analysis (A)'!K116</f>
        <v>48.98330237446563</v>
      </c>
      <c r="M116" s="207"/>
      <c r="N116" s="159">
        <f t="shared" si="14"/>
        <v>45.770619885509873</v>
      </c>
      <c r="R116" s="108"/>
      <c r="S116" s="108"/>
    </row>
    <row r="117" spans="6:19">
      <c r="F117" s="132">
        <v>27</v>
      </c>
      <c r="G117" s="139">
        <f>G116*(1-Constants!$D$11)</f>
        <v>0.87342009602538706</v>
      </c>
      <c r="H117" s="133">
        <f t="shared" si="12"/>
        <v>0.12657990397461294</v>
      </c>
      <c r="I117" s="157">
        <f>H117*$C$17</f>
        <v>91.693694461097493</v>
      </c>
      <c r="J117" s="135">
        <f>I117*'Grid Power'!K44</f>
        <v>36.632011320295994</v>
      </c>
      <c r="K117" s="147">
        <f t="shared" si="13"/>
        <v>27</v>
      </c>
      <c r="L117" s="158">
        <f>PMT(3%,K117,-NPV(3%,$J$91:J117))+Configurations!$C$15/'Analysis (A)'!K117</f>
        <v>48.200370448549023</v>
      </c>
      <c r="M117" s="207"/>
      <c r="N117" s="159">
        <f t="shared" si="14"/>
        <v>45.770619885509873</v>
      </c>
    </row>
    <row r="118" spans="6:19">
      <c r="F118" s="132">
        <v>28</v>
      </c>
      <c r="G118" s="139">
        <f>G117*(1-Constants!$D$11)</f>
        <v>0.86905299554526017</v>
      </c>
      <c r="H118" s="133">
        <f t="shared" si="12"/>
        <v>0.13094700445473983</v>
      </c>
      <c r="I118" s="157">
        <f>H118*$C$17</f>
        <v>94.857194863072678</v>
      </c>
      <c r="J118" s="135">
        <f>I118*'Grid Power'!K45</f>
        <v>39.714289888366686</v>
      </c>
      <c r="K118" s="147">
        <f t="shared" si="13"/>
        <v>28</v>
      </c>
      <c r="L118" s="158">
        <f>PMT(3%,K118,-NPV(3%,$J$91:J118))+Configurations!$C$15/'Analysis (A)'!K118</f>
        <v>47.542847235431587</v>
      </c>
      <c r="M118" s="207"/>
      <c r="N118" s="159">
        <f t="shared" si="14"/>
        <v>45.770619885509873</v>
      </c>
    </row>
    <row r="119" spans="6:19">
      <c r="F119" s="132">
        <v>29</v>
      </c>
      <c r="G119" s="139">
        <f>G118*(1-Constants!$D$11)</f>
        <v>0.86470773056753381</v>
      </c>
      <c r="H119" s="133">
        <f t="shared" si="12"/>
        <v>0.13529226943246619</v>
      </c>
      <c r="I119" s="157">
        <f>H119*$C$17</f>
        <v>98.004877763038053</v>
      </c>
      <c r="J119" s="135">
        <f>I119*'Grid Power'!K46</f>
        <v>43.004155309677209</v>
      </c>
      <c r="K119" s="147">
        <f t="shared" si="13"/>
        <v>29</v>
      </c>
      <c r="L119" s="158">
        <f>PMT(3%,K119,-NPV(3%,$J$91:J119))+Configurations!$C$15/'Analysis (A)'!K119</f>
        <v>47.000934831987365</v>
      </c>
      <c r="M119" s="207"/>
      <c r="N119" s="159">
        <f t="shared" si="14"/>
        <v>45.770619885509873</v>
      </c>
    </row>
    <row r="120" spans="6:19">
      <c r="F120" s="132">
        <v>30</v>
      </c>
      <c r="G120" s="139">
        <f>G119*(1-Constants!$D$11)</f>
        <v>0.86038419191469617</v>
      </c>
      <c r="H120" s="133">
        <f t="shared" si="12"/>
        <v>0.13961580808530383</v>
      </c>
      <c r="I120" s="157">
        <f>H120*$C$17</f>
        <v>101.13682224850353</v>
      </c>
      <c r="J120" s="135">
        <f>I120*'Grid Power'!K47</f>
        <v>46.51451857675081</v>
      </c>
      <c r="K120" s="147">
        <f t="shared" si="13"/>
        <v>30</v>
      </c>
      <c r="L120" s="158">
        <f>PMT(3%,K120,-NPV(3%,$J$91:J120))+Configurations!$C$15/'Analysis (A)'!K120</f>
        <v>46.566257330047314</v>
      </c>
      <c r="M120" s="207"/>
      <c r="N120" s="159">
        <f t="shared" si="14"/>
        <v>45.770619885509873</v>
      </c>
    </row>
    <row r="121" spans="6:19">
      <c r="F121" s="132">
        <v>31</v>
      </c>
      <c r="G121" s="139">
        <f>G120*(1-Constants!$D$11)</f>
        <v>0.85608227095512268</v>
      </c>
      <c r="H121" s="133">
        <f t="shared" si="12"/>
        <v>0.14391772904487732</v>
      </c>
      <c r="I121" s="157">
        <f>H121*$C$17</f>
        <v>104.25310701154172</v>
      </c>
      <c r="J121" s="135">
        <f>I121*'Grid Power'!K48</f>
        <v>50.259058105789869</v>
      </c>
      <c r="K121" s="147">
        <f t="shared" si="13"/>
        <v>31</v>
      </c>
      <c r="L121" s="158">
        <f>PMT(3%,K121,-NPV(3%,$J$91:J121))+Configurations!$C$15/'Analysis (A)'!K121</f>
        <v>46.231634987268194</v>
      </c>
      <c r="M121" s="207"/>
      <c r="N121" s="159">
        <f t="shared" si="14"/>
        <v>45.770619885509873</v>
      </c>
    </row>
    <row r="122" spans="6:19">
      <c r="F122" s="132">
        <v>32</v>
      </c>
      <c r="G122" s="139">
        <f>G121*(1-Constants!$D$11)</f>
        <v>0.85180185960034704</v>
      </c>
      <c r="H122" s="133">
        <f t="shared" si="12"/>
        <v>0.14819814039965296</v>
      </c>
      <c r="I122" s="157">
        <f>H122*$C$17</f>
        <v>107.35381035076473</v>
      </c>
      <c r="J122" s="135">
        <f>I122*'Grid Power'!K49</f>
        <v>54.252263955771568</v>
      </c>
      <c r="K122" s="147">
        <f t="shared" si="13"/>
        <v>32</v>
      </c>
      <c r="L122" s="158">
        <f>PMT(3%,K122,-NPV(3%,$J$91:J122))+Configurations!$C$15/'Analysis (A)'!K122</f>
        <v>45.990900833570471</v>
      </c>
      <c r="M122" s="207"/>
      <c r="N122" s="159">
        <f t="shared" si="14"/>
        <v>45.770619885509873</v>
      </c>
    </row>
    <row r="123" spans="6:19">
      <c r="F123" s="132">
        <v>33</v>
      </c>
      <c r="G123" s="139">
        <f>G122*(1-Constants!$D$11)</f>
        <v>0.84754285030234533</v>
      </c>
      <c r="H123" s="133">
        <f t="shared" si="12"/>
        <v>0.15245714969765467</v>
      </c>
      <c r="I123" s="157">
        <f>H123*$C$17</f>
        <v>110.43901017329159</v>
      </c>
      <c r="J123" s="135">
        <f>I123*'Grid Power'!K50</f>
        <v>58.50948453787268</v>
      </c>
      <c r="K123" s="147">
        <f t="shared" si="13"/>
        <v>33</v>
      </c>
      <c r="L123" s="158">
        <f>PMT(3%,K123,-NPV(3%,$J$91:J123))+Configurations!$C$15/'Analysis (A)'!K123</f>
        <v>45.838750713889468</v>
      </c>
      <c r="M123" s="207"/>
      <c r="N123" s="159">
        <f t="shared" si="14"/>
        <v>45.770619885509873</v>
      </c>
    </row>
    <row r="124" spans="6:19">
      <c r="F124" s="132">
        <v>34</v>
      </c>
      <c r="G124" s="139">
        <f>G123*(1-Constants!$D$11)</f>
        <v>0.84330513605083357</v>
      </c>
      <c r="H124" s="133">
        <f t="shared" si="12"/>
        <v>0.15669486394916643</v>
      </c>
      <c r="I124" s="157">
        <f>H124*$C$17</f>
        <v>113.50878399670584</v>
      </c>
      <c r="J124" s="135">
        <f>I124*'Grid Power'!K51</f>
        <v>63.046975953058507</v>
      </c>
      <c r="K124" s="147">
        <f t="shared" si="13"/>
        <v>34</v>
      </c>
      <c r="L124" s="158">
        <f>PMT(3%,K124,-NPV(3%,$J$91:J124))+Configurations!$C$15/'Analysis (A)'!K124</f>
        <v>45.770619885509873</v>
      </c>
      <c r="M124" s="207"/>
      <c r="N124" s="159">
        <f t="shared" si="14"/>
        <v>45.770619885509873</v>
      </c>
    </row>
    <row r="125" spans="6:19">
      <c r="F125" s="132">
        <v>35</v>
      </c>
      <c r="G125" s="139">
        <f>G124*(1-Constants!$D$11)</f>
        <v>0.83908861037057936</v>
      </c>
      <c r="H125" s="133">
        <f t="shared" si="12"/>
        <v>0.16091138962942064</v>
      </c>
      <c r="I125" s="157">
        <f>H125*$C$17</f>
        <v>116.56320895100305</v>
      </c>
      <c r="J125" s="135">
        <f>I125*'Grid Power'!K52</f>
        <v>67.881954103197614</v>
      </c>
      <c r="K125" s="147">
        <f t="shared" si="13"/>
        <v>35</v>
      </c>
      <c r="L125" s="158">
        <f>PMT(3%,K125,-NPV(3%,$J$91:J125))+Configurations!$C$15/'Analysis (A)'!K125</f>
        <v>45.782580861275299</v>
      </c>
      <c r="M125" s="207"/>
      <c r="N125" s="159">
        <f t="shared" si="14"/>
        <v>45.770619885509873</v>
      </c>
    </row>
    <row r="126" spans="6:19">
      <c r="F126" s="132">
        <v>36</v>
      </c>
      <c r="G126" s="139">
        <f>G125*(1-Constants!$D$11)</f>
        <v>0.83489316731872643</v>
      </c>
      <c r="H126" s="133">
        <f t="shared" si="12"/>
        <v>0.16510683268127357</v>
      </c>
      <c r="I126" s="157">
        <f>H126*$C$17</f>
        <v>119.60236178052875</v>
      </c>
      <c r="J126" s="135">
        <f>I126*'Grid Power'!K53</f>
        <v>73.032649728997896</v>
      </c>
      <c r="K126" s="147">
        <f t="shared" si="13"/>
        <v>36</v>
      </c>
      <c r="L126" s="158">
        <f>PMT(3%,K126,-NPV(3%,$J$91:J126))+Configurations!$C$15/'Analysis (A)'!K126</f>
        <v>45.871258369731081</v>
      </c>
      <c r="M126" s="207"/>
      <c r="N126" s="159">
        <f t="shared" si="14"/>
        <v>45.770619885509873</v>
      </c>
    </row>
    <row r="127" spans="6:19">
      <c r="F127" s="132">
        <v>37</v>
      </c>
      <c r="G127" s="139">
        <f>G126*(1-Constants!$D$11)</f>
        <v>0.83071870148213278</v>
      </c>
      <c r="H127" s="133">
        <f t="shared" si="12"/>
        <v>0.16928129851786722</v>
      </c>
      <c r="I127" s="157">
        <f>H127*$C$17</f>
        <v>122.62631884590681</v>
      </c>
      <c r="J127" s="135">
        <f>I127*'Grid Power'!K54</f>
        <v>78.51836653642053</v>
      </c>
      <c r="K127" s="147">
        <f t="shared" si="13"/>
        <v>37</v>
      </c>
      <c r="L127" s="158">
        <f>PMT(3%,K127,-NPV(3%,$J$91:J127))+Configurations!$C$15/'Analysis (A)'!K127</f>
        <v>46.033758196057164</v>
      </c>
      <c r="M127" s="207"/>
      <c r="N127" s="159">
        <f t="shared" si="14"/>
        <v>45.770619885509873</v>
      </c>
    </row>
    <row r="128" spans="6:19">
      <c r="F128" s="132">
        <v>38</v>
      </c>
      <c r="G128" s="139">
        <f>G127*(1-Constants!$D$11)</f>
        <v>0.82656510797472216</v>
      </c>
      <c r="H128" s="133">
        <f t="shared" si="12"/>
        <v>0.17343489202527784</v>
      </c>
      <c r="I128" s="157">
        <f>H128*$C$17</f>
        <v>125.63515612595795</v>
      </c>
      <c r="J128" s="135">
        <f>I128*'Grid Power'!K55</f>
        <v>84.35954258204228</v>
      </c>
      <c r="K128" s="147">
        <f t="shared" si="13"/>
        <v>38</v>
      </c>
      <c r="L128" s="158">
        <f>PMT(3%,K128,-NPV(3%,$J$91:J128))+Configurations!$C$15/'Analysis (A)'!K128</f>
        <v>46.267607348994588</v>
      </c>
      <c r="M128" s="207"/>
      <c r="N128" s="159">
        <f t="shared" si="14"/>
        <v>45.770619885509873</v>
      </c>
    </row>
    <row r="129" spans="6:14">
      <c r="F129" s="132">
        <v>39</v>
      </c>
      <c r="G129" s="139">
        <f>G128*(1-Constants!$D$11)</f>
        <v>0.82243228243484856</v>
      </c>
      <c r="H129" s="133">
        <f t="shared" si="12"/>
        <v>0.17756771756515144</v>
      </c>
      <c r="I129" s="157">
        <f>H129*$C$17</f>
        <v>128.62894921960884</v>
      </c>
      <c r="J129" s="135">
        <f>I129*'Grid Power'!K56</f>
        <v>90.577815097124414</v>
      </c>
      <c r="K129" s="147">
        <f t="shared" si="13"/>
        <v>39</v>
      </c>
      <c r="L129" s="158">
        <f>PMT(3%,K129,-NPV(3%,$J$91:J129))+Configurations!$C$15/'Analysis (A)'!K129</f>
        <v>46.570703523084113</v>
      </c>
      <c r="M129" s="207"/>
      <c r="N129" s="159">
        <f t="shared" si="14"/>
        <v>45.770619885509873</v>
      </c>
    </row>
    <row r="130" spans="6:14">
      <c r="F130" s="140">
        <v>40</v>
      </c>
      <c r="G130" s="141">
        <f>G129*(1-Constants!$D$11)</f>
        <v>0.81832012102267426</v>
      </c>
      <c r="H130" s="163">
        <f t="shared" si="12"/>
        <v>0.18167987897732574</v>
      </c>
      <c r="I130" s="164">
        <f>H130*$C$17</f>
        <v>131.60777334779155</v>
      </c>
      <c r="J130" s="143">
        <f>I130*'Grid Power'!K57</f>
        <v>97.196088939936701</v>
      </c>
      <c r="K130" s="146">
        <f t="shared" si="13"/>
        <v>40</v>
      </c>
      <c r="L130" s="165">
        <f>PMT(3%,K130,-NPV(3%,$J$91:J130))+Configurations!$C$15/'Analysis (A)'!K130</f>
        <v>46.941272231725222</v>
      </c>
      <c r="M130" s="207"/>
      <c r="N130" s="159">
        <f t="shared" si="14"/>
        <v>45.770619885509873</v>
      </c>
    </row>
  </sheetData>
  <mergeCells count="33">
    <mergeCell ref="F3:Y3"/>
    <mergeCell ref="F14:Y14"/>
    <mergeCell ref="F40:Y40"/>
    <mergeCell ref="N41:P41"/>
    <mergeCell ref="N15:P15"/>
    <mergeCell ref="N4:P4"/>
    <mergeCell ref="J4:M4"/>
    <mergeCell ref="J15:M15"/>
    <mergeCell ref="J41:M41"/>
    <mergeCell ref="X41:Y41"/>
    <mergeCell ref="G42:G43"/>
    <mergeCell ref="F41:F43"/>
    <mergeCell ref="G41:I41"/>
    <mergeCell ref="Q41:W41"/>
    <mergeCell ref="F15:F17"/>
    <mergeCell ref="G15:I15"/>
    <mergeCell ref="Q15:W15"/>
    <mergeCell ref="X15:Y15"/>
    <mergeCell ref="G16:G17"/>
    <mergeCell ref="Q4:W4"/>
    <mergeCell ref="X4:Y4"/>
    <mergeCell ref="F86:L86"/>
    <mergeCell ref="F88:F89"/>
    <mergeCell ref="G88:G89"/>
    <mergeCell ref="H88:H89"/>
    <mergeCell ref="F87:J87"/>
    <mergeCell ref="K87:L87"/>
    <mergeCell ref="K88:K89"/>
    <mergeCell ref="G4:I4"/>
    <mergeCell ref="F4:F6"/>
    <mergeCell ref="C4:D4"/>
    <mergeCell ref="B3:D3"/>
    <mergeCell ref="G5:G6"/>
  </mergeCells>
  <pageMargins left="0.7" right="0.7" top="0.75" bottom="0.75" header="0.3" footer="0.3"/>
  <pageSetup scale="35" orientation="portrait" r:id="rId1"/>
  <rowBreaks count="1" manualBreakCount="1">
    <brk id="39" max="16383" man="1"/>
  </rowBreaks>
  <colBreaks count="1" manualBreakCount="1">
    <brk id="5" max="1048575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5594-D1BF-D44E-93B1-0FE20E755081}">
  <sheetPr>
    <tabColor rgb="FF00B050"/>
  </sheetPr>
  <dimension ref="B2:AJ130"/>
  <sheetViews>
    <sheetView showGridLines="0" topLeftCell="A19" zoomScale="120" zoomScaleNormal="120" workbookViewId="0">
      <selection activeCell="O53" sqref="O53"/>
    </sheetView>
  </sheetViews>
  <sheetFormatPr baseColWidth="10" defaultRowHeight="17"/>
  <cols>
    <col min="1" max="1" width="10.83203125" style="104"/>
    <col min="2" max="2" width="14.5" style="104" bestFit="1" customWidth="1"/>
    <col min="3" max="4" width="10.83203125" style="104" bestFit="1" customWidth="1"/>
    <col min="5" max="5" width="5.5" style="104" bestFit="1" customWidth="1"/>
    <col min="6" max="6" width="7" style="104" bestFit="1" customWidth="1"/>
    <col min="7" max="7" width="5.33203125" style="104" customWidth="1"/>
    <col min="8" max="9" width="10.83203125" style="104"/>
    <col min="10" max="10" width="6.6640625" style="104" bestFit="1" customWidth="1"/>
    <col min="11" max="11" width="11.6640625" style="104" bestFit="1" customWidth="1"/>
    <col min="12" max="12" width="11.33203125" style="104" bestFit="1" customWidth="1"/>
    <col min="13" max="13" width="12.1640625" style="104" bestFit="1" customWidth="1"/>
    <col min="14" max="14" width="13.6640625" style="104" bestFit="1" customWidth="1"/>
    <col min="15" max="15" width="13.6640625" style="104" customWidth="1"/>
    <col min="16" max="16" width="10.83203125" style="104"/>
    <col min="17" max="17" width="11.5" style="104" bestFit="1" customWidth="1"/>
    <col min="18" max="18" width="11.5" style="104" customWidth="1"/>
    <col min="19" max="19" width="12.33203125" style="104" bestFit="1" customWidth="1"/>
    <col min="20" max="20" width="15.83203125" style="104" bestFit="1" customWidth="1"/>
    <col min="21" max="21" width="10.83203125" style="104" bestFit="1" customWidth="1"/>
    <col min="22" max="23" width="10.6640625" style="104" bestFit="1" customWidth="1"/>
    <col min="24" max="25" width="9.1640625" style="104" bestFit="1" customWidth="1"/>
    <col min="26" max="26" width="10.6640625" style="104" bestFit="1" customWidth="1"/>
    <col min="27" max="27" width="12" style="104" bestFit="1" customWidth="1"/>
    <col min="28" max="29" width="10.83203125" style="104"/>
    <col min="30" max="30" width="15.5" style="104" bestFit="1" customWidth="1"/>
    <col min="31" max="31" width="10.83203125" style="104"/>
    <col min="32" max="33" width="12.33203125" style="104" bestFit="1" customWidth="1"/>
    <col min="34" max="34" width="4.5" style="104" customWidth="1"/>
    <col min="35" max="35" width="12.5" style="104" bestFit="1" customWidth="1"/>
    <col min="36" max="16384" width="10.83203125" style="104"/>
  </cols>
  <sheetData>
    <row r="2" spans="2:36" ht="129">
      <c r="B2" s="103" t="s">
        <v>235</v>
      </c>
    </row>
    <row r="3" spans="2:36">
      <c r="B3" s="120" t="s">
        <v>150</v>
      </c>
      <c r="C3" s="120"/>
      <c r="D3" s="120"/>
      <c r="E3" s="120"/>
      <c r="F3" s="120"/>
      <c r="H3" s="120" t="s">
        <v>201</v>
      </c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2:36">
      <c r="B4" s="127" t="s">
        <v>94</v>
      </c>
      <c r="C4" s="167" t="s">
        <v>151</v>
      </c>
      <c r="D4" s="166" t="s">
        <v>217</v>
      </c>
      <c r="E4" s="127" t="s">
        <v>170</v>
      </c>
      <c r="F4" s="166" t="s">
        <v>250</v>
      </c>
      <c r="H4" s="120" t="s">
        <v>56</v>
      </c>
      <c r="I4" s="168" t="s">
        <v>116</v>
      </c>
      <c r="J4" s="170"/>
      <c r="K4" s="169"/>
      <c r="L4" s="168" t="s">
        <v>6</v>
      </c>
      <c r="M4" s="170"/>
      <c r="N4" s="170"/>
      <c r="O4" s="169"/>
      <c r="P4" s="168" t="s">
        <v>166</v>
      </c>
      <c r="Q4" s="170"/>
      <c r="R4" s="169"/>
      <c r="S4" s="168" t="s">
        <v>174</v>
      </c>
      <c r="T4" s="169"/>
      <c r="U4" s="168" t="s">
        <v>236</v>
      </c>
      <c r="V4" s="170"/>
      <c r="W4" s="169"/>
      <c r="X4" s="168" t="s">
        <v>237</v>
      </c>
      <c r="Y4" s="170"/>
      <c r="Z4" s="169"/>
      <c r="AA4" s="168" t="s">
        <v>126</v>
      </c>
      <c r="AB4" s="170"/>
      <c r="AC4" s="169"/>
      <c r="AD4" s="167"/>
      <c r="AE4" s="167"/>
      <c r="AF4" s="120" t="s">
        <v>197</v>
      </c>
      <c r="AG4" s="120"/>
      <c r="AI4" s="121" t="s">
        <v>194</v>
      </c>
      <c r="AJ4" s="122">
        <f>IRR(AF7:AF12)</f>
        <v>-6.0927736567619295E-2</v>
      </c>
    </row>
    <row r="5" spans="2:36">
      <c r="B5" s="117"/>
      <c r="C5" s="127" t="s">
        <v>117</v>
      </c>
      <c r="D5" s="127" t="s">
        <v>117</v>
      </c>
      <c r="E5" s="127" t="s">
        <v>117</v>
      </c>
      <c r="F5" s="127" t="s">
        <v>117</v>
      </c>
      <c r="G5" s="198"/>
      <c r="H5" s="120"/>
      <c r="I5" s="123" t="s">
        <v>153</v>
      </c>
      <c r="J5" s="124" t="s">
        <v>170</v>
      </c>
      <c r="K5" s="124" t="s">
        <v>250</v>
      </c>
      <c r="L5" s="124" t="s">
        <v>162</v>
      </c>
      <c r="M5" s="124" t="s">
        <v>139</v>
      </c>
      <c r="N5" s="124" t="s">
        <v>164</v>
      </c>
      <c r="O5" s="124" t="s">
        <v>232</v>
      </c>
      <c r="P5" s="124" t="s">
        <v>163</v>
      </c>
      <c r="Q5" s="124" t="s">
        <v>165</v>
      </c>
      <c r="R5" s="124" t="s">
        <v>146</v>
      </c>
      <c r="S5" s="124" t="s">
        <v>174</v>
      </c>
      <c r="T5" s="124" t="s">
        <v>177</v>
      </c>
      <c r="U5" s="124" t="str">
        <f>"+CCA"</f>
        <v>+CCA</v>
      </c>
      <c r="V5" s="124" t="s">
        <v>8</v>
      </c>
      <c r="W5" s="124" t="s">
        <v>238</v>
      </c>
      <c r="X5" s="124" t="str">
        <f>"+CCA"</f>
        <v>+CCA</v>
      </c>
      <c r="Y5" s="124" t="s">
        <v>8</v>
      </c>
      <c r="Z5" s="124" t="s">
        <v>238</v>
      </c>
      <c r="AA5" s="124" t="str">
        <f>"+CCA"</f>
        <v>+CCA</v>
      </c>
      <c r="AB5" s="124" t="s">
        <v>8</v>
      </c>
      <c r="AC5" s="124" t="s">
        <v>238</v>
      </c>
      <c r="AD5" s="124" t="s">
        <v>172</v>
      </c>
      <c r="AE5" s="124" t="s">
        <v>175</v>
      </c>
      <c r="AF5" s="124" t="s">
        <v>196</v>
      </c>
      <c r="AG5" s="124" t="s">
        <v>196</v>
      </c>
      <c r="AI5" s="121" t="s">
        <v>195</v>
      </c>
      <c r="AJ5" s="126">
        <f>IRR(AG7:AG12)</f>
        <v>-7.9340918204719002E-2</v>
      </c>
    </row>
    <row r="6" spans="2:36">
      <c r="B6" s="132">
        <v>1</v>
      </c>
      <c r="C6" s="134">
        <f>Weather!I8*Configurations!$C$31*(1-Constants!$N$9)</f>
        <v>165.15635832434137</v>
      </c>
      <c r="D6" s="134">
        <f>Consumption!D9</f>
        <v>751.57009042842367</v>
      </c>
      <c r="E6" s="134">
        <f>IF(D6-C6&gt;0, D6-C6,0)</f>
        <v>586.41373210408233</v>
      </c>
      <c r="F6" s="199">
        <f>IF(C6&gt;D6,C6-D6,0)</f>
        <v>0</v>
      </c>
      <c r="G6" s="198"/>
      <c r="H6" s="175"/>
      <c r="I6" s="176"/>
      <c r="J6" s="177" t="s">
        <v>62</v>
      </c>
      <c r="K6" s="177" t="s">
        <v>62</v>
      </c>
      <c r="L6" s="177" t="s">
        <v>59</v>
      </c>
      <c r="M6" s="177" t="s">
        <v>59</v>
      </c>
      <c r="N6" s="177" t="s">
        <v>59</v>
      </c>
      <c r="O6" s="177" t="s">
        <v>59</v>
      </c>
      <c r="P6" s="177" t="s">
        <v>59</v>
      </c>
      <c r="Q6" s="177" t="s">
        <v>59</v>
      </c>
      <c r="R6" s="177" t="s">
        <v>59</v>
      </c>
      <c r="S6" s="177" t="s">
        <v>59</v>
      </c>
      <c r="T6" s="177" t="s">
        <v>59</v>
      </c>
      <c r="U6" s="177" t="s">
        <v>59</v>
      </c>
      <c r="V6" s="177" t="s">
        <v>59</v>
      </c>
      <c r="W6" s="177" t="s">
        <v>59</v>
      </c>
      <c r="X6" s="177" t="s">
        <v>59</v>
      </c>
      <c r="Y6" s="177" t="s">
        <v>59</v>
      </c>
      <c r="Z6" s="177" t="s">
        <v>59</v>
      </c>
      <c r="AA6" s="177" t="s">
        <v>59</v>
      </c>
      <c r="AB6" s="177" t="s">
        <v>59</v>
      </c>
      <c r="AC6" s="177" t="s">
        <v>59</v>
      </c>
      <c r="AD6" s="177" t="s">
        <v>59</v>
      </c>
      <c r="AE6" s="177" t="s">
        <v>59</v>
      </c>
      <c r="AF6" s="177" t="s">
        <v>59</v>
      </c>
      <c r="AG6" s="178" t="s">
        <v>178</v>
      </c>
      <c r="AI6" s="129" t="s">
        <v>198</v>
      </c>
      <c r="AJ6" s="158">
        <f>NPV(Constants!$D$21,'Analysis (B)'!AG8:AG12)+'Analysis (B)'!AG7</f>
        <v>-3591.0337280079093</v>
      </c>
    </row>
    <row r="7" spans="2:36">
      <c r="B7" s="132">
        <v>2</v>
      </c>
      <c r="C7" s="134">
        <f>Weather!I9*Configurations!$C$31*(1-Constants!$N$9)</f>
        <v>249.85525979868441</v>
      </c>
      <c r="D7" s="134">
        <f>Consumption!D10</f>
        <v>726.25333333333333</v>
      </c>
      <c r="E7" s="134">
        <f t="shared" ref="E7:E17" si="0">IF(D7-C7&gt;0, D7-C7,0)</f>
        <v>476.39807353464892</v>
      </c>
      <c r="F7" s="199">
        <f t="shared" ref="F7:F17" si="1">IF(C7&gt;D7,C7-D7,0)</f>
        <v>0</v>
      </c>
      <c r="H7" s="208">
        <v>0</v>
      </c>
      <c r="I7" s="209">
        <v>1</v>
      </c>
      <c r="J7" s="210">
        <v>0</v>
      </c>
      <c r="K7" s="210">
        <v>0</v>
      </c>
      <c r="L7" s="211">
        <v>0</v>
      </c>
      <c r="M7" s="212">
        <f>Configurations!$C$34</f>
        <v>14870</v>
      </c>
      <c r="N7" s="212">
        <f>Configurations!$C$31*1000*Constants!$D$63</f>
        <v>50</v>
      </c>
      <c r="O7" s="212">
        <v>0</v>
      </c>
      <c r="P7" s="212">
        <f>MIN(Configurations!$C$31*1000*Incentives!$C$5,Incentives!$F$5*$M$7)+Configurations!$C$31*1000*Incentives!$C$6</f>
        <v>4500</v>
      </c>
      <c r="Q7" s="212">
        <f>K7*'Grid Power'!$L$18</f>
        <v>0</v>
      </c>
      <c r="R7" s="212">
        <v>0</v>
      </c>
      <c r="S7" s="211">
        <f>SUM(P7:R7)-SUM(L7:O7)</f>
        <v>-10420</v>
      </c>
      <c r="T7" s="211">
        <f>S7+'Analysis (Nothing)'!D5</f>
        <v>-10420</v>
      </c>
      <c r="U7" s="211">
        <f>Configurations!$C$46/2</f>
        <v>4089.25</v>
      </c>
      <c r="V7" s="211">
        <f>0</f>
        <v>0</v>
      </c>
      <c r="W7" s="211">
        <f>V7+U7</f>
        <v>4089.25</v>
      </c>
      <c r="X7" s="211">
        <f>Configurations!$D$46/2</f>
        <v>669.15</v>
      </c>
      <c r="Y7" s="211">
        <f>0</f>
        <v>0</v>
      </c>
      <c r="Z7" s="211">
        <f>Y7+X7</f>
        <v>669.15</v>
      </c>
      <c r="AA7" s="211">
        <f>Configurations!$E$46/2</f>
        <v>1040.9000000000001</v>
      </c>
      <c r="AB7" s="212">
        <v>0</v>
      </c>
      <c r="AC7" s="211">
        <f>AA7-AB7</f>
        <v>1040.9000000000001</v>
      </c>
      <c r="AD7" s="212">
        <f>IF(T7&lt;0, 0,T7-AB7-Y7-V7)</f>
        <v>0</v>
      </c>
      <c r="AE7" s="211">
        <f>AD7*Constants!$D$23</f>
        <v>0</v>
      </c>
      <c r="AF7" s="211">
        <f>T7-AE7</f>
        <v>-10420</v>
      </c>
      <c r="AG7" s="214">
        <f>AF7*(1+Constants!$D$20)^-H7</f>
        <v>-10420</v>
      </c>
      <c r="AI7" s="121" t="s">
        <v>199</v>
      </c>
      <c r="AJ7" s="165">
        <f>PMT(Constants!$D$21,5,-'Analysis (B)'!AJ6)</f>
        <v>-784.11863056417974</v>
      </c>
    </row>
    <row r="8" spans="2:36">
      <c r="B8" s="132">
        <v>3</v>
      </c>
      <c r="C8" s="134">
        <f>Weather!I10*Configurations!$C$31*(1-Constants!$N$9)</f>
        <v>454.13047553314181</v>
      </c>
      <c r="D8" s="134">
        <f>Consumption!D11</f>
        <v>691.67</v>
      </c>
      <c r="E8" s="134">
        <f t="shared" si="0"/>
        <v>237.53952446685815</v>
      </c>
      <c r="F8" s="199">
        <f t="shared" si="1"/>
        <v>0</v>
      </c>
      <c r="H8" s="132">
        <v>1</v>
      </c>
      <c r="I8" s="139">
        <f>I7*(1-Constants!$D$11)</f>
        <v>0.995</v>
      </c>
      <c r="J8" s="134">
        <f>$E$18*(2-I8)</f>
        <v>2498.0417736620489</v>
      </c>
      <c r="K8" s="134">
        <f>$F$18*I8</f>
        <v>3224.293411383916</v>
      </c>
      <c r="L8" s="135">
        <f>IF(J8*'Grid Power'!K18&lt;0,0,J8*'Grid Power'!K18)</f>
        <v>304.2630967709398</v>
      </c>
      <c r="M8" s="136">
        <v>0</v>
      </c>
      <c r="N8" s="136">
        <f>N7*(1+Constants!$D$20)</f>
        <v>51</v>
      </c>
      <c r="O8" s="136">
        <v>0</v>
      </c>
      <c r="P8" s="136">
        <v>0</v>
      </c>
      <c r="Q8" s="136">
        <f>K8*'Grid Power'!$L$18</f>
        <v>338.74295028828237</v>
      </c>
      <c r="R8" s="136"/>
      <c r="S8" s="135">
        <f t="shared" ref="S8:S12" si="2">SUM(P8:R8)-SUM(L8:O8)</f>
        <v>-16.520146482657424</v>
      </c>
      <c r="T8" s="135">
        <f>S8+'Analysis (Nothing)'!D6</f>
        <v>994.43007074310265</v>
      </c>
      <c r="U8" s="135">
        <f>Configurations!$C$46/2</f>
        <v>4089.25</v>
      </c>
      <c r="V8" s="135">
        <f>W7*Configurations!$C$47</f>
        <v>1226.7749999999999</v>
      </c>
      <c r="W8" s="135">
        <f>W7+U8-V8</f>
        <v>6951.7250000000004</v>
      </c>
      <c r="X8" s="135">
        <f>Configurations!$D$46/2</f>
        <v>669.15</v>
      </c>
      <c r="Y8" s="135">
        <f>Z7*Configurations!$D$47</f>
        <v>66.915000000000006</v>
      </c>
      <c r="Z8" s="135">
        <f>Z7+X8-Y8</f>
        <v>1271.385</v>
      </c>
      <c r="AA8" s="135">
        <f>Configurations!$E$46/2</f>
        <v>1040.9000000000001</v>
      </c>
      <c r="AB8" s="135">
        <f>AC7*Configurations!$E$47</f>
        <v>208.18000000000004</v>
      </c>
      <c r="AC8" s="135">
        <f>AC7+AA8-AB8</f>
        <v>1873.6200000000001</v>
      </c>
      <c r="AD8" s="136">
        <f>IF(T8-AB8-Y8-V8&lt;0, 0,T8-AB8-Y8-V8)</f>
        <v>0</v>
      </c>
      <c r="AE8" s="135">
        <f>AD8*Constants!$D$23</f>
        <v>0</v>
      </c>
      <c r="AF8" s="135">
        <f>T8-AE8</f>
        <v>994.43007074310265</v>
      </c>
      <c r="AG8" s="150">
        <f>AF8*(1+Constants!$D$20)^-H8</f>
        <v>974.93144190500254</v>
      </c>
    </row>
    <row r="9" spans="2:36">
      <c r="B9" s="132">
        <v>4</v>
      </c>
      <c r="C9" s="134">
        <f>Weather!I11*Configurations!$C$31*(1-Constants!$N$9)</f>
        <v>781.71657863357154</v>
      </c>
      <c r="D9" s="134">
        <f>Consumption!D12</f>
        <v>657.08666666666659</v>
      </c>
      <c r="E9" s="134">
        <f t="shared" si="0"/>
        <v>0</v>
      </c>
      <c r="F9" s="199">
        <f>IF(C9&gt;D9,C9-D9,0)</f>
        <v>124.62991196690496</v>
      </c>
      <c r="H9" s="132">
        <v>2</v>
      </c>
      <c r="I9" s="139">
        <f>I8*(1-Constants!$D$11)</f>
        <v>0.99002500000000004</v>
      </c>
      <c r="J9" s="134">
        <f t="shared" ref="J9:J12" si="3">$E$18*(2-I9)</f>
        <v>2510.4077018451021</v>
      </c>
      <c r="K9" s="134">
        <f t="shared" ref="K9:K12" si="4">$F$18*I9</f>
        <v>3208.1719443269963</v>
      </c>
      <c r="L9" s="135">
        <f>IF(J9*'Grid Power'!K19&lt;0,0,J9*'Grid Power'!K19)</f>
        <v>319.64649907501081</v>
      </c>
      <c r="M9" s="136">
        <v>0</v>
      </c>
      <c r="N9" s="136">
        <f>N8*(1+Constants!$D$20)</f>
        <v>52.02</v>
      </c>
      <c r="O9" s="136">
        <v>0</v>
      </c>
      <c r="P9" s="136">
        <v>0</v>
      </c>
      <c r="Q9" s="136">
        <f>K9*'Grid Power'!$L$18</f>
        <v>337.04923553684091</v>
      </c>
      <c r="R9" s="136"/>
      <c r="S9" s="135">
        <f t="shared" si="2"/>
        <v>-34.61726353816988</v>
      </c>
      <c r="T9" s="135">
        <f>S9+'Analysis (Nothing)'!D7</f>
        <v>1022.2145515620589</v>
      </c>
      <c r="U9" s="135">
        <v>0</v>
      </c>
      <c r="V9" s="135">
        <f>W8*Configurations!$C$47</f>
        <v>2085.5174999999999</v>
      </c>
      <c r="W9" s="135">
        <f t="shared" ref="W9:W12" si="5">W8+U9-V9</f>
        <v>4866.2075000000004</v>
      </c>
      <c r="X9" s="135">
        <v>0</v>
      </c>
      <c r="Y9" s="135">
        <f>Z8*Configurations!$D$47</f>
        <v>127.13850000000001</v>
      </c>
      <c r="Z9" s="135">
        <f t="shared" ref="Z9:Z12" si="6">Z8+X9-Y9</f>
        <v>1144.2465</v>
      </c>
      <c r="AA9" s="136">
        <v>0</v>
      </c>
      <c r="AB9" s="135">
        <f>AC8*Configurations!$E$47</f>
        <v>374.72400000000005</v>
      </c>
      <c r="AC9" s="135">
        <f t="shared" ref="AC9:AC12" si="7">AC8+AA9-AB9</f>
        <v>1498.8960000000002</v>
      </c>
      <c r="AD9" s="136">
        <f t="shared" ref="AD9:AD12" si="8">IF(T9-AB9-Y9-V9&lt;0, 0,T9-AB9-Y9-V9)</f>
        <v>0</v>
      </c>
      <c r="AE9" s="135">
        <f>AD9*Constants!$D$23</f>
        <v>0</v>
      </c>
      <c r="AF9" s="135">
        <f>T9-AE9</f>
        <v>1022.2145515620589</v>
      </c>
      <c r="AG9" s="150">
        <f>AF9*(1+Constants!$D$20)^-H9</f>
        <v>982.52071468863801</v>
      </c>
    </row>
    <row r="10" spans="2:36">
      <c r="B10" s="132">
        <v>5</v>
      </c>
      <c r="C10" s="134">
        <f>Weather!I12*Configurations!$C$31*(1-Constants!$N$9)</f>
        <v>1160.5108004810299</v>
      </c>
      <c r="D10" s="134">
        <f>Consumption!D13</f>
        <v>631.76990957157625</v>
      </c>
      <c r="E10" s="134">
        <f t="shared" si="0"/>
        <v>0</v>
      </c>
      <c r="F10" s="199">
        <f t="shared" ref="F10:F17" si="9">IF(C10&gt;D10,C10-D10,0)</f>
        <v>528.7408909094537</v>
      </c>
      <c r="H10" s="132">
        <v>3</v>
      </c>
      <c r="I10" s="139">
        <f>I9*(1-Constants!$D$11)</f>
        <v>0.98507487500000002</v>
      </c>
      <c r="J10" s="134">
        <f t="shared" si="3"/>
        <v>2522.7118003872406</v>
      </c>
      <c r="K10" s="134">
        <f t="shared" si="4"/>
        <v>3192.1310846053611</v>
      </c>
      <c r="L10" s="135">
        <f>IF(J10*'Grid Power'!K20&lt;0,0,J10*'Grid Power'!K20)</f>
        <v>335.83164946776094</v>
      </c>
      <c r="M10" s="136">
        <v>0</v>
      </c>
      <c r="N10" s="136">
        <f>N9*(1+Constants!$D$20)</f>
        <v>53.060400000000001</v>
      </c>
      <c r="O10" s="136">
        <v>0</v>
      </c>
      <c r="P10" s="136">
        <v>0</v>
      </c>
      <c r="Q10" s="136">
        <f>K10*'Grid Power'!$L$18</f>
        <v>335.36398935915668</v>
      </c>
      <c r="R10" s="136"/>
      <c r="S10" s="135">
        <f t="shared" si="2"/>
        <v>-53.528060108604279</v>
      </c>
      <c r="T10" s="135">
        <f>S10+'Analysis (Nothing)'!D8</f>
        <v>1051.4004233672019</v>
      </c>
      <c r="U10" s="135">
        <v>0</v>
      </c>
      <c r="V10" s="135">
        <f>W9*Configurations!$C$47</f>
        <v>1459.8622500000001</v>
      </c>
      <c r="W10" s="135">
        <f t="shared" si="5"/>
        <v>3406.3452500000003</v>
      </c>
      <c r="X10" s="135">
        <v>0</v>
      </c>
      <c r="Y10" s="135">
        <f>Z9*Configurations!$D$47</f>
        <v>114.42465</v>
      </c>
      <c r="Z10" s="135">
        <f t="shared" si="6"/>
        <v>1029.82185</v>
      </c>
      <c r="AA10" s="136">
        <v>0</v>
      </c>
      <c r="AB10" s="135">
        <f>AC9*Configurations!$E$47</f>
        <v>299.77920000000006</v>
      </c>
      <c r="AC10" s="135">
        <f t="shared" si="7"/>
        <v>1199.1168000000002</v>
      </c>
      <c r="AD10" s="136">
        <f t="shared" si="8"/>
        <v>0</v>
      </c>
      <c r="AE10" s="135">
        <f>AD10*Constants!$D$23</f>
        <v>0</v>
      </c>
      <c r="AF10" s="135">
        <f>T10-AE10</f>
        <v>1051.4004233672019</v>
      </c>
      <c r="AG10" s="150">
        <f>AF10*(1+Constants!$D$20)^-H10</f>
        <v>990.75810149113283</v>
      </c>
    </row>
    <row r="11" spans="2:36">
      <c r="B11" s="132">
        <v>6</v>
      </c>
      <c r="C11" s="134">
        <f>Weather!I13*Configurations!$C$31*(1-Constants!$N$9)</f>
        <v>1446.2156854701</v>
      </c>
      <c r="D11" s="134">
        <f>Consumption!D14</f>
        <v>622.50333333333333</v>
      </c>
      <c r="E11" s="134">
        <f t="shared" si="0"/>
        <v>0</v>
      </c>
      <c r="F11" s="199">
        <f t="shared" si="9"/>
        <v>823.71235213676664</v>
      </c>
      <c r="H11" s="132">
        <v>4</v>
      </c>
      <c r="I11" s="139">
        <f>I10*(1-Constants!$D$11)</f>
        <v>0.98014950062500006</v>
      </c>
      <c r="J11" s="134">
        <f t="shared" si="3"/>
        <v>2534.9543784366679</v>
      </c>
      <c r="K11" s="134">
        <f t="shared" si="4"/>
        <v>3176.1704291823348</v>
      </c>
      <c r="L11" s="135">
        <f>IF(J11*'Grid Power'!K21&lt;0,0,J11*'Grid Power'!K21)</f>
        <v>352.86103018652238</v>
      </c>
      <c r="M11" s="136">
        <v>0</v>
      </c>
      <c r="N11" s="136">
        <f>N10*(1+Constants!$D$20)</f>
        <v>54.121608000000002</v>
      </c>
      <c r="O11" s="136">
        <v>0</v>
      </c>
      <c r="P11" s="136">
        <v>0</v>
      </c>
      <c r="Q11" s="136">
        <f>K11*'Grid Power'!$L$18</f>
        <v>333.68716941236096</v>
      </c>
      <c r="R11" s="136"/>
      <c r="S11" s="135">
        <f t="shared" si="2"/>
        <v>-73.295468774161407</v>
      </c>
      <c r="T11" s="135">
        <f>S11+'Analysis (Nothing)'!D9</f>
        <v>1082.0549745720971</v>
      </c>
      <c r="U11" s="135">
        <v>0</v>
      </c>
      <c r="V11" s="135">
        <f>W10*Configurations!$C$47</f>
        <v>1021.903575</v>
      </c>
      <c r="W11" s="135">
        <f t="shared" si="5"/>
        <v>2384.441675</v>
      </c>
      <c r="X11" s="135">
        <v>0</v>
      </c>
      <c r="Y11" s="135">
        <f>Z10*Configurations!$D$47</f>
        <v>102.98218500000002</v>
      </c>
      <c r="Z11" s="135">
        <f t="shared" si="6"/>
        <v>926.83966499999997</v>
      </c>
      <c r="AA11" s="136">
        <v>0</v>
      </c>
      <c r="AB11" s="135">
        <f>AC10*Configurations!$E$47</f>
        <v>239.82336000000006</v>
      </c>
      <c r="AC11" s="135">
        <f t="shared" si="7"/>
        <v>959.29344000000015</v>
      </c>
      <c r="AD11" s="136">
        <f t="shared" si="8"/>
        <v>0</v>
      </c>
      <c r="AE11" s="135">
        <f>AD11*Constants!$D$23</f>
        <v>0</v>
      </c>
      <c r="AF11" s="135">
        <f>T11-AE11</f>
        <v>1082.0549745720971</v>
      </c>
      <c r="AG11" s="150">
        <f>AF11*(1+Constants!$D$20)^-H11</f>
        <v>999.65153896766799</v>
      </c>
    </row>
    <row r="12" spans="2:36">
      <c r="B12" s="132">
        <v>7</v>
      </c>
      <c r="C12" s="134">
        <f>Weather!I14*Configurations!$C$31*(1-Constants!$N$9)</f>
        <v>1503.76670617987</v>
      </c>
      <c r="D12" s="134">
        <f>Consumption!D15</f>
        <v>631.76990957157625</v>
      </c>
      <c r="E12" s="134">
        <f t="shared" si="0"/>
        <v>0</v>
      </c>
      <c r="F12" s="199">
        <f t="shared" si="9"/>
        <v>871.99679660829372</v>
      </c>
      <c r="H12" s="140">
        <v>5</v>
      </c>
      <c r="I12" s="141">
        <f>I11*(1-Constants!$D$11)</f>
        <v>0.97524875312187509</v>
      </c>
      <c r="J12" s="142">
        <f t="shared" si="3"/>
        <v>2547.135743595848</v>
      </c>
      <c r="K12" s="142">
        <f t="shared" si="4"/>
        <v>3160.289577036423</v>
      </c>
      <c r="L12" s="143">
        <f>IF(J12*'Grid Power'!K22&lt;0,0,J12*'Grid Power'!K22)</f>
        <v>370.77938563677935</v>
      </c>
      <c r="M12" s="144">
        <v>0</v>
      </c>
      <c r="N12" s="144">
        <f>N11*(1+Constants!$D$20)</f>
        <v>55.204040160000005</v>
      </c>
      <c r="O12" s="144">
        <v>0</v>
      </c>
      <c r="P12" s="144">
        <v>0</v>
      </c>
      <c r="Q12" s="144">
        <f>K12*'Grid Power'!$L$18</f>
        <v>332.01873356529916</v>
      </c>
      <c r="R12" s="144">
        <f>W12+Z12+AC12</f>
        <v>3270.6996230000004</v>
      </c>
      <c r="S12" s="143">
        <f t="shared" si="2"/>
        <v>3176.7349307685199</v>
      </c>
      <c r="T12" s="143">
        <f>S12+'Analysis (Nothing)'!D10</f>
        <v>4384.9484072973137</v>
      </c>
      <c r="U12" s="143">
        <v>0</v>
      </c>
      <c r="V12" s="143">
        <f>W11*Configurations!$C$47</f>
        <v>715.33250250000003</v>
      </c>
      <c r="W12" s="143">
        <f t="shared" si="5"/>
        <v>1669.1091725000001</v>
      </c>
      <c r="X12" s="143">
        <v>0</v>
      </c>
      <c r="Y12" s="143">
        <f>Z11*Configurations!$D$47</f>
        <v>92.683966499999997</v>
      </c>
      <c r="Z12" s="143">
        <f t="shared" si="6"/>
        <v>834.15569849999997</v>
      </c>
      <c r="AA12" s="144">
        <v>0</v>
      </c>
      <c r="AB12" s="143">
        <f>AC11*Configurations!$E$47</f>
        <v>191.85868800000003</v>
      </c>
      <c r="AC12" s="143">
        <f t="shared" si="7"/>
        <v>767.43475200000012</v>
      </c>
      <c r="AD12" s="144">
        <f t="shared" si="8"/>
        <v>3385.0732502973137</v>
      </c>
      <c r="AE12" s="143">
        <f>AD12*Constants!$D$23</f>
        <v>338.50732502973142</v>
      </c>
      <c r="AF12" s="143">
        <f>T12-AE12</f>
        <v>4046.4410822675823</v>
      </c>
      <c r="AG12" s="153">
        <f>AF12*(1+Constants!$D$20)^-H12</f>
        <v>3664.9863583712586</v>
      </c>
    </row>
    <row r="13" spans="2:36">
      <c r="B13" s="132">
        <v>8</v>
      </c>
      <c r="C13" s="134">
        <f>Weather!I15*Configurations!$C$31*(1-Constants!$N$9)</f>
        <v>1302.1127115230684</v>
      </c>
      <c r="D13" s="134">
        <f>Consumption!D16</f>
        <v>657.08666666666659</v>
      </c>
      <c r="E13" s="134">
        <f t="shared" si="0"/>
        <v>0</v>
      </c>
      <c r="F13" s="199">
        <f t="shared" si="9"/>
        <v>645.02604485640177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</row>
    <row r="14" spans="2:36">
      <c r="B14" s="132">
        <v>9</v>
      </c>
      <c r="C14" s="134">
        <f>Weather!I16*Configurations!$C$31*(1-Constants!$N$9)</f>
        <v>938.05989436028585</v>
      </c>
      <c r="D14" s="134">
        <f>Consumption!D17</f>
        <v>691.67</v>
      </c>
      <c r="E14" s="134">
        <f t="shared" si="0"/>
        <v>0</v>
      </c>
      <c r="F14" s="199">
        <f t="shared" si="9"/>
        <v>246.38989436028589</v>
      </c>
      <c r="H14" s="120" t="s">
        <v>202</v>
      </c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</row>
    <row r="15" spans="2:36">
      <c r="B15" s="132">
        <v>10</v>
      </c>
      <c r="C15" s="134">
        <f>Weather!I17*Configurations!$C$31*(1-Constants!$N$9)</f>
        <v>567.66309441642727</v>
      </c>
      <c r="D15" s="134">
        <f>Consumption!D18</f>
        <v>726.25333333333333</v>
      </c>
      <c r="E15" s="134">
        <f t="shared" si="0"/>
        <v>158.59023891690606</v>
      </c>
      <c r="F15" s="199">
        <f t="shared" si="9"/>
        <v>0</v>
      </c>
      <c r="H15" s="120" t="s">
        <v>56</v>
      </c>
      <c r="I15" s="168" t="s">
        <v>116</v>
      </c>
      <c r="J15" s="170"/>
      <c r="K15" s="169"/>
      <c r="L15" s="168" t="s">
        <v>6</v>
      </c>
      <c r="M15" s="170"/>
      <c r="N15" s="170"/>
      <c r="O15" s="169"/>
      <c r="P15" s="168" t="s">
        <v>166</v>
      </c>
      <c r="Q15" s="170"/>
      <c r="R15" s="169"/>
      <c r="S15" s="168" t="s">
        <v>174</v>
      </c>
      <c r="T15" s="169"/>
      <c r="U15" s="168" t="s">
        <v>236</v>
      </c>
      <c r="V15" s="170"/>
      <c r="W15" s="169"/>
      <c r="X15" s="168" t="s">
        <v>237</v>
      </c>
      <c r="Y15" s="170"/>
      <c r="Z15" s="169"/>
      <c r="AA15" s="168" t="s">
        <v>126</v>
      </c>
      <c r="AB15" s="170"/>
      <c r="AC15" s="169"/>
      <c r="AD15" s="167"/>
      <c r="AE15" s="167"/>
      <c r="AF15" s="120" t="s">
        <v>197</v>
      </c>
      <c r="AG15" s="120"/>
      <c r="AI15" s="121" t="s">
        <v>194</v>
      </c>
      <c r="AJ15" s="122">
        <f>IRR(AF18:AF38)</f>
        <v>7.0182890736376846E-2</v>
      </c>
    </row>
    <row r="16" spans="2:36">
      <c r="B16" s="132">
        <v>11</v>
      </c>
      <c r="C16" s="134">
        <f>Weather!I18*Configurations!$C$31*(1-Constants!$N$9)</f>
        <v>305.82987145264582</v>
      </c>
      <c r="D16" s="134">
        <f>Consumption!D19</f>
        <v>751.57009042842367</v>
      </c>
      <c r="E16" s="134">
        <f t="shared" si="0"/>
        <v>445.74021897577785</v>
      </c>
      <c r="F16" s="199">
        <f t="shared" si="9"/>
        <v>0</v>
      </c>
      <c r="H16" s="120"/>
      <c r="I16" s="123" t="s">
        <v>153</v>
      </c>
      <c r="J16" s="124" t="s">
        <v>170</v>
      </c>
      <c r="K16" s="124" t="s">
        <v>250</v>
      </c>
      <c r="L16" s="124" t="s">
        <v>162</v>
      </c>
      <c r="M16" s="124" t="s">
        <v>139</v>
      </c>
      <c r="N16" s="124" t="s">
        <v>164</v>
      </c>
      <c r="O16" s="124" t="s">
        <v>232</v>
      </c>
      <c r="P16" s="124" t="s">
        <v>163</v>
      </c>
      <c r="Q16" s="124" t="s">
        <v>165</v>
      </c>
      <c r="R16" s="124" t="s">
        <v>146</v>
      </c>
      <c r="S16" s="124" t="s">
        <v>174</v>
      </c>
      <c r="T16" s="124" t="s">
        <v>177</v>
      </c>
      <c r="U16" s="124" t="str">
        <f>"+CCA"</f>
        <v>+CCA</v>
      </c>
      <c r="V16" s="124" t="s">
        <v>8</v>
      </c>
      <c r="W16" s="124" t="s">
        <v>238</v>
      </c>
      <c r="X16" s="124" t="str">
        <f>"+CCA"</f>
        <v>+CCA</v>
      </c>
      <c r="Y16" s="124" t="s">
        <v>8</v>
      </c>
      <c r="Z16" s="124" t="s">
        <v>238</v>
      </c>
      <c r="AA16" s="124" t="str">
        <f>"+CCA"</f>
        <v>+CCA</v>
      </c>
      <c r="AB16" s="124" t="s">
        <v>8</v>
      </c>
      <c r="AC16" s="124" t="s">
        <v>238</v>
      </c>
      <c r="AD16" s="124" t="s">
        <v>172</v>
      </c>
      <c r="AE16" s="124" t="s">
        <v>175</v>
      </c>
      <c r="AF16" s="124" t="s">
        <v>196</v>
      </c>
      <c r="AG16" s="124" t="s">
        <v>196</v>
      </c>
      <c r="AI16" s="121" t="s">
        <v>195</v>
      </c>
      <c r="AJ16" s="126">
        <f>IRR(AG18:AG38)</f>
        <v>4.9198912486643875E-2</v>
      </c>
    </row>
    <row r="17" spans="2:36">
      <c r="B17" s="132">
        <v>12</v>
      </c>
      <c r="C17" s="134">
        <f>Weather!I19*Configurations!$C$31*(1-Constants!$N$9)</f>
        <v>179.90474952857298</v>
      </c>
      <c r="D17" s="134">
        <f>Consumption!D20</f>
        <v>760.83666666666659</v>
      </c>
      <c r="E17" s="134">
        <f t="shared" si="0"/>
        <v>580.93191713809358</v>
      </c>
      <c r="F17" s="199">
        <f t="shared" si="9"/>
        <v>0</v>
      </c>
      <c r="H17" s="175"/>
      <c r="I17" s="176"/>
      <c r="J17" s="177" t="s">
        <v>62</v>
      </c>
      <c r="K17" s="177" t="s">
        <v>62</v>
      </c>
      <c r="L17" s="177" t="s">
        <v>59</v>
      </c>
      <c r="M17" s="177" t="s">
        <v>59</v>
      </c>
      <c r="N17" s="177" t="s">
        <v>59</v>
      </c>
      <c r="O17" s="177" t="s">
        <v>59</v>
      </c>
      <c r="P17" s="177" t="s">
        <v>59</v>
      </c>
      <c r="Q17" s="177" t="s">
        <v>59</v>
      </c>
      <c r="R17" s="177" t="s">
        <v>59</v>
      </c>
      <c r="S17" s="177" t="s">
        <v>59</v>
      </c>
      <c r="T17" s="177" t="s">
        <v>59</v>
      </c>
      <c r="U17" s="177" t="s">
        <v>59</v>
      </c>
      <c r="V17" s="177" t="s">
        <v>59</v>
      </c>
      <c r="W17" s="177" t="s">
        <v>59</v>
      </c>
      <c r="X17" s="177" t="s">
        <v>59</v>
      </c>
      <c r="Y17" s="177" t="s">
        <v>59</v>
      </c>
      <c r="Z17" s="177" t="s">
        <v>59</v>
      </c>
      <c r="AA17" s="177" t="s">
        <v>59</v>
      </c>
      <c r="AB17" s="177" t="s">
        <v>59</v>
      </c>
      <c r="AC17" s="177" t="s">
        <v>59</v>
      </c>
      <c r="AD17" s="177" t="s">
        <v>59</v>
      </c>
      <c r="AE17" s="177" t="s">
        <v>59</v>
      </c>
      <c r="AF17" s="177" t="s">
        <v>59</v>
      </c>
      <c r="AG17" s="178" t="s">
        <v>178</v>
      </c>
      <c r="AI17" s="129" t="s">
        <v>198</v>
      </c>
      <c r="AJ17" s="158">
        <f>NPV(Constants!$D$21,'Analysis (B)'!AG19:AG38)+'Analysis (B)'!AG18</f>
        <v>1994.2636093402671</v>
      </c>
    </row>
    <row r="18" spans="2:36">
      <c r="B18" s="195" t="s">
        <v>87</v>
      </c>
      <c r="C18" s="200">
        <f>SUM(C6:C17)</f>
        <v>9054.9221857017401</v>
      </c>
      <c r="D18" s="200">
        <f>SUM(D6:D17)</f>
        <v>8300.0400000000009</v>
      </c>
      <c r="E18" s="200">
        <f>SUM(E6:E17)</f>
        <v>2485.6137051363671</v>
      </c>
      <c r="F18" s="201">
        <f>SUM(F6:F17)</f>
        <v>3240.4958908381063</v>
      </c>
      <c r="G18" s="147"/>
      <c r="H18" s="208">
        <v>0</v>
      </c>
      <c r="I18" s="209">
        <v>1</v>
      </c>
      <c r="J18" s="210">
        <v>0</v>
      </c>
      <c r="K18" s="210">
        <v>0</v>
      </c>
      <c r="L18" s="211">
        <v>0</v>
      </c>
      <c r="M18" s="212">
        <f>Configurations!$C$34</f>
        <v>14870</v>
      </c>
      <c r="N18" s="212">
        <f>Configurations!$C$31*1000*Constants!$D$63</f>
        <v>50</v>
      </c>
      <c r="O18" s="212">
        <v>0</v>
      </c>
      <c r="P18" s="212">
        <f>MIN(Configurations!$C$31*1000*Incentives!$C$5,Incentives!$F$5*$M$7)+Configurations!$C$31*1000*Incentives!$C$6</f>
        <v>4500</v>
      </c>
      <c r="Q18" s="212">
        <f>K18*'Grid Power'!$L$18</f>
        <v>0</v>
      </c>
      <c r="R18" s="212">
        <v>0</v>
      </c>
      <c r="S18" s="211">
        <f>SUM(P18:R18)-SUM(L18:O18)</f>
        <v>-10420</v>
      </c>
      <c r="T18" s="211">
        <f>S18+'Analysis (Nothing)'!D5</f>
        <v>-10420</v>
      </c>
      <c r="U18" s="211">
        <f>Configurations!$C$46/2</f>
        <v>4089.25</v>
      </c>
      <c r="V18" s="211">
        <f>0</f>
        <v>0</v>
      </c>
      <c r="W18" s="211">
        <f>V18+U18</f>
        <v>4089.25</v>
      </c>
      <c r="X18" s="211">
        <f>Configurations!$D$46/2</f>
        <v>669.15</v>
      </c>
      <c r="Y18" s="211">
        <f>0</f>
        <v>0</v>
      </c>
      <c r="Z18" s="211">
        <f>Y18+X18</f>
        <v>669.15</v>
      </c>
      <c r="AA18" s="211">
        <f>Configurations!$E$46/2</f>
        <v>1040.9000000000001</v>
      </c>
      <c r="AB18" s="212">
        <v>0</v>
      </c>
      <c r="AC18" s="211">
        <f>AA18-AB18</f>
        <v>1040.9000000000001</v>
      </c>
      <c r="AD18" s="212">
        <f>IF(T18&lt;0, 0,T18-AB18-Y18-V18)</f>
        <v>0</v>
      </c>
      <c r="AE18" s="211">
        <f>AD18*Constants!$D$23</f>
        <v>0</v>
      </c>
      <c r="AF18" s="211">
        <f>T18-AE18</f>
        <v>-10420</v>
      </c>
      <c r="AG18" s="214">
        <f>AF18*(1+Constants!$D$20)^-H18</f>
        <v>-10420</v>
      </c>
      <c r="AI18" s="121" t="s">
        <v>199</v>
      </c>
      <c r="AJ18" s="165">
        <f>PMT(Constants!$D$21,5,-'Analysis (B)'!AJ17)</f>
        <v>435.45657567725982</v>
      </c>
    </row>
    <row r="19" spans="2:36">
      <c r="D19" s="131"/>
      <c r="G19" s="112"/>
      <c r="H19" s="132">
        <v>1</v>
      </c>
      <c r="I19" s="139">
        <f>I18*(1-Constants!$D$11)</f>
        <v>0.995</v>
      </c>
      <c r="J19" s="134">
        <f>$E$18*(2-I19)</f>
        <v>2498.0417736620489</v>
      </c>
      <c r="K19" s="134">
        <f>$F$18*I19</f>
        <v>3224.293411383916</v>
      </c>
      <c r="L19" s="135">
        <f>IF(J19*'Grid Power'!K29&lt;0,0,J19*'Grid Power'!K18)</f>
        <v>304.2630967709398</v>
      </c>
      <c r="M19" s="136">
        <v>0</v>
      </c>
      <c r="N19" s="136">
        <f>N18*(1+Constants!$D$20)</f>
        <v>51</v>
      </c>
      <c r="O19" s="136">
        <v>0</v>
      </c>
      <c r="P19" s="136">
        <v>0</v>
      </c>
      <c r="Q19" s="136">
        <f>K19*'Grid Power'!$L$18</f>
        <v>338.74295028828237</v>
      </c>
      <c r="R19" s="136">
        <v>0</v>
      </c>
      <c r="S19" s="135">
        <f t="shared" ref="S19:S23" si="10">SUM(P19:R19)-SUM(L19:O19)</f>
        <v>-16.520146482657424</v>
      </c>
      <c r="T19" s="135">
        <f>S19+'Analysis (Nothing)'!D6</f>
        <v>994.43007074310265</v>
      </c>
      <c r="U19" s="135">
        <f>Configurations!$C$46/2</f>
        <v>4089.25</v>
      </c>
      <c r="V19" s="135">
        <f>W18*Configurations!$C$47</f>
        <v>1226.7749999999999</v>
      </c>
      <c r="W19" s="135">
        <f>W18+U19-V19</f>
        <v>6951.7250000000004</v>
      </c>
      <c r="X19" s="135">
        <f>Configurations!$D$46/2</f>
        <v>669.15</v>
      </c>
      <c r="Y19" s="135">
        <f>Z18*Configurations!$D$47</f>
        <v>66.915000000000006</v>
      </c>
      <c r="Z19" s="135">
        <f>Z18+X19-Y19</f>
        <v>1271.385</v>
      </c>
      <c r="AA19" s="135">
        <f>Configurations!$E$46/2</f>
        <v>1040.9000000000001</v>
      </c>
      <c r="AB19" s="135">
        <f>AC18*Configurations!$E$47</f>
        <v>208.18000000000004</v>
      </c>
      <c r="AC19" s="135">
        <f>AC18+AA19-AB19</f>
        <v>1873.6200000000001</v>
      </c>
      <c r="AD19" s="136">
        <f>IF(T19-AB19-Y19-V19&lt;0, 0,T19-AB19-Y19-V19)</f>
        <v>0</v>
      </c>
      <c r="AE19" s="135">
        <f>AD19*Constants!$D$23</f>
        <v>0</v>
      </c>
      <c r="AF19" s="135">
        <f>T19-AE19</f>
        <v>994.43007074310265</v>
      </c>
      <c r="AG19" s="150">
        <f>AF19*(1+Constants!$D$20)^-H19</f>
        <v>974.93144190500254</v>
      </c>
    </row>
    <row r="20" spans="2:36">
      <c r="H20" s="132">
        <v>2</v>
      </c>
      <c r="I20" s="139">
        <f>I19*(1-Constants!$D$11)</f>
        <v>0.99002500000000004</v>
      </c>
      <c r="J20" s="134">
        <f t="shared" ref="J20:J38" si="11">$E$18*(2-I20)</f>
        <v>2510.4077018451021</v>
      </c>
      <c r="K20" s="134">
        <f t="shared" ref="K20:K23" si="12">$F$18*I20</f>
        <v>3208.1719443269963</v>
      </c>
      <c r="L20" s="135">
        <f>IF(J20*'Grid Power'!K30&lt;0,0,J20*'Grid Power'!K19)</f>
        <v>319.64649907501081</v>
      </c>
      <c r="M20" s="136">
        <v>0</v>
      </c>
      <c r="N20" s="136">
        <f>N19*(1+Constants!$D$20)</f>
        <v>52.02</v>
      </c>
      <c r="O20" s="136">
        <v>0</v>
      </c>
      <c r="P20" s="136">
        <v>0</v>
      </c>
      <c r="Q20" s="136">
        <f>K20*'Grid Power'!$L$18</f>
        <v>337.04923553684091</v>
      </c>
      <c r="R20" s="136">
        <v>0</v>
      </c>
      <c r="S20" s="135">
        <f t="shared" si="10"/>
        <v>-34.61726353816988</v>
      </c>
      <c r="T20" s="135">
        <f>S20+'Analysis (Nothing)'!D7</f>
        <v>1022.2145515620589</v>
      </c>
      <c r="U20" s="135">
        <v>0</v>
      </c>
      <c r="V20" s="135">
        <f>W19*Configurations!$C$47</f>
        <v>2085.5174999999999</v>
      </c>
      <c r="W20" s="135">
        <f t="shared" ref="W20:W23" si="13">W19+U20-V20</f>
        <v>4866.2075000000004</v>
      </c>
      <c r="X20" s="135">
        <v>0</v>
      </c>
      <c r="Y20" s="135">
        <f>Z19*Configurations!$D$47</f>
        <v>127.13850000000001</v>
      </c>
      <c r="Z20" s="135">
        <f t="shared" ref="Z20:Z23" si="14">Z19+X20-Y20</f>
        <v>1144.2465</v>
      </c>
      <c r="AA20" s="136">
        <v>0</v>
      </c>
      <c r="AB20" s="135">
        <f>AC19*Configurations!$E$47</f>
        <v>374.72400000000005</v>
      </c>
      <c r="AC20" s="135">
        <f t="shared" ref="AC20:AC23" si="15">AC19+AA20-AB20</f>
        <v>1498.8960000000002</v>
      </c>
      <c r="AD20" s="136">
        <f t="shared" ref="AD20:AD23" si="16">IF(T20-AB20-Y20-V20&lt;0, 0,T20-AB20-Y20-V20)</f>
        <v>0</v>
      </c>
      <c r="AE20" s="135">
        <f>AD20*Constants!$D$23</f>
        <v>0</v>
      </c>
      <c r="AF20" s="135">
        <f>T20-AE20</f>
        <v>1022.2145515620589</v>
      </c>
      <c r="AG20" s="150">
        <f>AF20*(1+Constants!$D$20)^-H20</f>
        <v>982.52071468863801</v>
      </c>
    </row>
    <row r="21" spans="2:36">
      <c r="D21" s="131"/>
      <c r="H21" s="132">
        <v>3</v>
      </c>
      <c r="I21" s="139">
        <f>I20*(1-Constants!$D$11)</f>
        <v>0.98507487500000002</v>
      </c>
      <c r="J21" s="134">
        <f t="shared" si="11"/>
        <v>2522.7118003872406</v>
      </c>
      <c r="K21" s="134">
        <f t="shared" si="12"/>
        <v>3192.1310846053611</v>
      </c>
      <c r="L21" s="135">
        <f>IF(J21*'Grid Power'!K31&lt;0,0,J21*'Grid Power'!K20)</f>
        <v>335.83164946776094</v>
      </c>
      <c r="M21" s="136">
        <v>0</v>
      </c>
      <c r="N21" s="136">
        <f>N20*(1+Constants!$D$20)</f>
        <v>53.060400000000001</v>
      </c>
      <c r="O21" s="136">
        <v>0</v>
      </c>
      <c r="P21" s="136">
        <v>0</v>
      </c>
      <c r="Q21" s="136">
        <f>K21*'Grid Power'!$L$18</f>
        <v>335.36398935915668</v>
      </c>
      <c r="R21" s="136">
        <v>0</v>
      </c>
      <c r="S21" s="135">
        <f t="shared" si="10"/>
        <v>-53.528060108604279</v>
      </c>
      <c r="T21" s="135">
        <f>S21+'Analysis (Nothing)'!D8</f>
        <v>1051.4004233672019</v>
      </c>
      <c r="U21" s="135">
        <v>0</v>
      </c>
      <c r="V21" s="135">
        <f>W20*Configurations!$C$47</f>
        <v>1459.8622500000001</v>
      </c>
      <c r="W21" s="135">
        <f t="shared" si="13"/>
        <v>3406.3452500000003</v>
      </c>
      <c r="X21" s="135">
        <v>0</v>
      </c>
      <c r="Y21" s="135">
        <f>Z20*Configurations!$D$47</f>
        <v>114.42465</v>
      </c>
      <c r="Z21" s="135">
        <f t="shared" si="14"/>
        <v>1029.82185</v>
      </c>
      <c r="AA21" s="136">
        <v>0</v>
      </c>
      <c r="AB21" s="135">
        <f>AC20*Configurations!$E$47</f>
        <v>299.77920000000006</v>
      </c>
      <c r="AC21" s="135">
        <f t="shared" si="15"/>
        <v>1199.1168000000002</v>
      </c>
      <c r="AD21" s="136">
        <f t="shared" si="16"/>
        <v>0</v>
      </c>
      <c r="AE21" s="135">
        <f>AD21*Constants!$D$23</f>
        <v>0</v>
      </c>
      <c r="AF21" s="135">
        <f>T21-AE21</f>
        <v>1051.4004233672019</v>
      </c>
      <c r="AG21" s="150">
        <f>AF21*(1+Constants!$D$20)^-H21</f>
        <v>990.75810149113283</v>
      </c>
    </row>
    <row r="22" spans="2:36">
      <c r="H22" s="132">
        <v>4</v>
      </c>
      <c r="I22" s="139">
        <f>I21*(1-Constants!$D$11)</f>
        <v>0.98014950062500006</v>
      </c>
      <c r="J22" s="134">
        <f t="shared" si="11"/>
        <v>2534.9543784366679</v>
      </c>
      <c r="K22" s="134">
        <f t="shared" si="12"/>
        <v>3176.1704291823348</v>
      </c>
      <c r="L22" s="135">
        <f>IF(J22*'Grid Power'!K32&lt;0,0,J22*'Grid Power'!K21)</f>
        <v>352.86103018652238</v>
      </c>
      <c r="M22" s="136">
        <v>0</v>
      </c>
      <c r="N22" s="136">
        <f>N21*(1+Constants!$D$20)</f>
        <v>54.121608000000002</v>
      </c>
      <c r="O22" s="136">
        <v>0</v>
      </c>
      <c r="P22" s="136">
        <v>0</v>
      </c>
      <c r="Q22" s="136">
        <f>K22*'Grid Power'!$L$18</f>
        <v>333.68716941236096</v>
      </c>
      <c r="R22" s="136">
        <v>0</v>
      </c>
      <c r="S22" s="135">
        <f t="shared" si="10"/>
        <v>-73.295468774161407</v>
      </c>
      <c r="T22" s="135">
        <f>S22+'Analysis (Nothing)'!D9</f>
        <v>1082.0549745720971</v>
      </c>
      <c r="U22" s="135">
        <v>0</v>
      </c>
      <c r="V22" s="135">
        <f>W21*Configurations!$C$47</f>
        <v>1021.903575</v>
      </c>
      <c r="W22" s="135">
        <f t="shared" si="13"/>
        <v>2384.441675</v>
      </c>
      <c r="X22" s="135">
        <v>0</v>
      </c>
      <c r="Y22" s="135">
        <f>Z21*Configurations!$D$47</f>
        <v>102.98218500000002</v>
      </c>
      <c r="Z22" s="135">
        <f t="shared" si="14"/>
        <v>926.83966499999997</v>
      </c>
      <c r="AA22" s="136">
        <v>0</v>
      </c>
      <c r="AB22" s="135">
        <f>AC21*Configurations!$E$47</f>
        <v>239.82336000000006</v>
      </c>
      <c r="AC22" s="135">
        <f t="shared" si="15"/>
        <v>959.29344000000015</v>
      </c>
      <c r="AD22" s="136">
        <f t="shared" si="16"/>
        <v>0</v>
      </c>
      <c r="AE22" s="135">
        <f>AD22*Constants!$D$23</f>
        <v>0</v>
      </c>
      <c r="AF22" s="135">
        <f>T22-AE22</f>
        <v>1082.0549745720971</v>
      </c>
      <c r="AG22" s="150">
        <f>AF22*(1+Constants!$D$20)^-H22</f>
        <v>999.65153896766799</v>
      </c>
    </row>
    <row r="23" spans="2:36">
      <c r="H23" s="132">
        <v>5</v>
      </c>
      <c r="I23" s="139">
        <f>I22*(1-Constants!$D$11)</f>
        <v>0.97524875312187509</v>
      </c>
      <c r="J23" s="134">
        <f t="shared" si="11"/>
        <v>2547.135743595848</v>
      </c>
      <c r="K23" s="134">
        <f t="shared" si="12"/>
        <v>3160.289577036423</v>
      </c>
      <c r="L23" s="135">
        <f>IF(J23*'Grid Power'!K33&lt;0,0,J23*'Grid Power'!K22)</f>
        <v>370.77938563677935</v>
      </c>
      <c r="M23" s="136">
        <v>0</v>
      </c>
      <c r="N23" s="136">
        <f>N22*(1+Constants!$D$20)</f>
        <v>55.204040160000005</v>
      </c>
      <c r="O23" s="136">
        <v>0</v>
      </c>
      <c r="P23" s="136">
        <v>0</v>
      </c>
      <c r="Q23" s="136">
        <f>K23*'Grid Power'!$L$18</f>
        <v>332.01873356529916</v>
      </c>
      <c r="R23" s="136">
        <v>0</v>
      </c>
      <c r="S23" s="135">
        <f t="shared" si="10"/>
        <v>-93.964692231480171</v>
      </c>
      <c r="T23" s="135">
        <f>S23+'Analysis (Nothing)'!D10</f>
        <v>1114.2487842973137</v>
      </c>
      <c r="U23" s="135">
        <v>0</v>
      </c>
      <c r="V23" s="135">
        <f>W22*Configurations!$C$47</f>
        <v>715.33250250000003</v>
      </c>
      <c r="W23" s="135">
        <f t="shared" si="13"/>
        <v>1669.1091725000001</v>
      </c>
      <c r="X23" s="135">
        <v>0</v>
      </c>
      <c r="Y23" s="135">
        <f>Z22*Configurations!$D$47</f>
        <v>92.683966499999997</v>
      </c>
      <c r="Z23" s="135">
        <f t="shared" si="14"/>
        <v>834.15569849999997</v>
      </c>
      <c r="AA23" s="136">
        <v>0</v>
      </c>
      <c r="AB23" s="135">
        <f>AC22*Configurations!$E$47</f>
        <v>191.85868800000003</v>
      </c>
      <c r="AC23" s="135">
        <f t="shared" si="15"/>
        <v>767.43475200000012</v>
      </c>
      <c r="AD23" s="136">
        <f t="shared" si="16"/>
        <v>114.37362729731365</v>
      </c>
      <c r="AE23" s="135">
        <f>AD23*Constants!$D$23</f>
        <v>11.437362729731365</v>
      </c>
      <c r="AF23" s="135">
        <f>T23-AE23</f>
        <v>1102.8114215675823</v>
      </c>
      <c r="AG23" s="150">
        <f>AF23*(1+Constants!$D$20)^-H23</f>
        <v>998.85028194608719</v>
      </c>
    </row>
    <row r="24" spans="2:36">
      <c r="H24" s="132">
        <v>6</v>
      </c>
      <c r="I24" s="139">
        <f>I23*(1-Constants!$D$11)</f>
        <v>0.97037250935626573</v>
      </c>
      <c r="J24" s="134">
        <f t="shared" si="11"/>
        <v>2559.2562019292322</v>
      </c>
      <c r="K24" s="134">
        <f t="shared" ref="K24:K38" si="17">$F$18*I24</f>
        <v>3144.4881291512411</v>
      </c>
      <c r="L24" s="135">
        <f>IF(J24*'Grid Power'!K34&lt;0,0,J24*'Grid Power'!K23)</f>
        <v>389.63384271783184</v>
      </c>
      <c r="M24" s="136">
        <v>0</v>
      </c>
      <c r="N24" s="136">
        <f>N23*(1+Constants!$D$20)</f>
        <v>56.308120963200004</v>
      </c>
      <c r="O24" s="136">
        <v>0</v>
      </c>
      <c r="P24" s="136">
        <v>0</v>
      </c>
      <c r="Q24" s="136">
        <f>K24*'Grid Power'!$L$18</f>
        <v>330.3586398974727</v>
      </c>
      <c r="R24" s="136">
        <v>0</v>
      </c>
      <c r="S24" s="135">
        <f t="shared" ref="S24:S38" si="18">SUM(P24:R24)-SUM(L24:O24)</f>
        <v>-115.58332378355914</v>
      </c>
      <c r="T24" s="135">
        <f>S24+'Analysis (Nothing)'!D11</f>
        <v>1148.0558841526608</v>
      </c>
      <c r="U24" s="135">
        <v>0</v>
      </c>
      <c r="V24" s="135">
        <f>W23*Configurations!$C$47</f>
        <v>500.73275175000003</v>
      </c>
      <c r="W24" s="135">
        <f t="shared" ref="W24:W38" si="19">W23+U24-V24</f>
        <v>1168.3764207500001</v>
      </c>
      <c r="X24" s="135">
        <v>0</v>
      </c>
      <c r="Y24" s="135">
        <f>Z23*Configurations!$D$47</f>
        <v>83.415569849999997</v>
      </c>
      <c r="Z24" s="135">
        <f t="shared" ref="Z24:Z38" si="20">Z23+X24-Y24</f>
        <v>750.74012864999997</v>
      </c>
      <c r="AA24" s="136">
        <v>0</v>
      </c>
      <c r="AB24" s="135">
        <f>AC23*Configurations!$E$47</f>
        <v>153.48695040000004</v>
      </c>
      <c r="AC24" s="135">
        <f t="shared" ref="AC24:AC38" si="21">AC23+AA24-AB24</f>
        <v>613.94780160000005</v>
      </c>
      <c r="AD24" s="136">
        <f t="shared" ref="AD24:AD38" si="22">IF(T24-AB24-Y24-V24&lt;0, 0,T24-AB24-Y24-V24)</f>
        <v>410.42061215266074</v>
      </c>
      <c r="AE24" s="135">
        <f>AD24*Constants!$D$23</f>
        <v>41.042061215266074</v>
      </c>
      <c r="AF24" s="135">
        <f t="shared" ref="AF24:AF36" si="23">T24-AE24</f>
        <v>1107.0138229373947</v>
      </c>
      <c r="AG24" s="150">
        <f>AF24*(1+Constants!$D$20)^-H24</f>
        <v>982.99659445293878</v>
      </c>
    </row>
    <row r="25" spans="2:36">
      <c r="H25" s="132">
        <v>7</v>
      </c>
      <c r="I25" s="139">
        <f>I24*(1-Constants!$D$11)</f>
        <v>0.96552064680948435</v>
      </c>
      <c r="J25" s="134">
        <f t="shared" si="11"/>
        <v>2571.3160579709502</v>
      </c>
      <c r="K25" s="134">
        <f t="shared" si="17"/>
        <v>3128.7656885054848</v>
      </c>
      <c r="L25" s="135">
        <f>IF(J25*'Grid Power'!K35&lt;0,0,J25*'Grid Power'!K24)</f>
        <v>409.47403752598058</v>
      </c>
      <c r="M25" s="136">
        <v>0</v>
      </c>
      <c r="N25" s="136">
        <f>N24*(1+Constants!$D$20)</f>
        <v>57.434283382464002</v>
      </c>
      <c r="O25" s="136">
        <v>0</v>
      </c>
      <c r="P25" s="136">
        <v>0</v>
      </c>
      <c r="Q25" s="136">
        <f>K25*'Grid Power'!$L$18</f>
        <v>328.70684669798533</v>
      </c>
      <c r="R25" s="136">
        <v>0</v>
      </c>
      <c r="S25" s="135">
        <f t="shared" si="18"/>
        <v>-138.20147421045925</v>
      </c>
      <c r="T25" s="135">
        <f>S25+'Analysis (Nothing)'!D12</f>
        <v>1183.5539280052635</v>
      </c>
      <c r="U25" s="135">
        <v>0</v>
      </c>
      <c r="V25" s="135">
        <f>W24*Configurations!$C$47</f>
        <v>350.512926225</v>
      </c>
      <c r="W25" s="135">
        <f t="shared" si="19"/>
        <v>817.86349452500008</v>
      </c>
      <c r="X25" s="135">
        <v>0</v>
      </c>
      <c r="Y25" s="135">
        <f>Z24*Configurations!$D$47</f>
        <v>75.074012865</v>
      </c>
      <c r="Z25" s="135">
        <f t="shared" si="20"/>
        <v>675.66611578499999</v>
      </c>
      <c r="AA25" s="136">
        <v>0</v>
      </c>
      <c r="AB25" s="135">
        <f>AC24*Configurations!$E$47</f>
        <v>122.78956032000002</v>
      </c>
      <c r="AC25" s="135">
        <f t="shared" si="21"/>
        <v>491.15824128000003</v>
      </c>
      <c r="AD25" s="136">
        <f t="shared" si="22"/>
        <v>635.17742859526356</v>
      </c>
      <c r="AE25" s="135">
        <f>AD25*Constants!$D$23</f>
        <v>63.517742859526358</v>
      </c>
      <c r="AF25" s="135">
        <f t="shared" si="23"/>
        <v>1120.0361851457371</v>
      </c>
      <c r="AG25" s="150">
        <f>AF25*(1+Constants!$D$20)^-H25</f>
        <v>975.05890139451969</v>
      </c>
    </row>
    <row r="26" spans="2:36">
      <c r="H26" s="132">
        <v>8</v>
      </c>
      <c r="I26" s="139">
        <f>I25*(1-Constants!$D$11)</f>
        <v>0.96069304357543694</v>
      </c>
      <c r="J26" s="134">
        <f t="shared" si="11"/>
        <v>2583.3156147324589</v>
      </c>
      <c r="K26" s="134">
        <f t="shared" si="17"/>
        <v>3113.1218600629572</v>
      </c>
      <c r="L26" s="135">
        <f>IF(J26*'Grid Power'!K36&lt;0,0,J26*'Grid Power'!K25)</f>
        <v>430.35224877184157</v>
      </c>
      <c r="M26" s="136">
        <v>0</v>
      </c>
      <c r="N26" s="136">
        <f>N25*(1+Constants!$D$20)</f>
        <v>58.582969050113284</v>
      </c>
      <c r="O26" s="136">
        <v>0</v>
      </c>
      <c r="P26" s="136">
        <v>0</v>
      </c>
      <c r="Q26" s="136">
        <f>K26*'Grid Power'!$L$18</f>
        <v>327.06331246449537</v>
      </c>
      <c r="R26" s="136">
        <v>0</v>
      </c>
      <c r="S26" s="135">
        <f t="shared" si="18"/>
        <v>-161.87190535745947</v>
      </c>
      <c r="T26" s="135">
        <f>S26+'Analysis (Nothing)'!D13</f>
        <v>1220.8243701288652</v>
      </c>
      <c r="U26" s="135">
        <v>0</v>
      </c>
      <c r="V26" s="135">
        <f>W25*Configurations!$C$47</f>
        <v>245.3590483575</v>
      </c>
      <c r="W26" s="135">
        <f t="shared" si="19"/>
        <v>572.50444616750008</v>
      </c>
      <c r="X26" s="135">
        <v>0</v>
      </c>
      <c r="Y26" s="135">
        <f>Z25*Configurations!$D$47</f>
        <v>67.566611578500002</v>
      </c>
      <c r="Z26" s="135">
        <f t="shared" si="20"/>
        <v>608.0995042065</v>
      </c>
      <c r="AA26" s="136">
        <v>0</v>
      </c>
      <c r="AB26" s="135">
        <f>AC25*Configurations!$E$47</f>
        <v>98.231648256000014</v>
      </c>
      <c r="AC26" s="135">
        <f t="shared" si="21"/>
        <v>392.926593024</v>
      </c>
      <c r="AD26" s="136">
        <f t="shared" si="22"/>
        <v>809.66706193686525</v>
      </c>
      <c r="AE26" s="135">
        <f>AD26*Constants!$D$23</f>
        <v>80.966706193686534</v>
      </c>
      <c r="AF26" s="135">
        <f t="shared" si="23"/>
        <v>1139.8576639351786</v>
      </c>
      <c r="AG26" s="150">
        <f>AF26*(1+Constants!$D$20)^-H26</f>
        <v>972.85754069592906</v>
      </c>
    </row>
    <row r="27" spans="2:36">
      <c r="H27" s="132">
        <v>9</v>
      </c>
      <c r="I27" s="139">
        <f>I26*(1-Constants!$D$11)</f>
        <v>0.95588957835755972</v>
      </c>
      <c r="J27" s="134">
        <f t="shared" si="11"/>
        <v>2595.2551737101608</v>
      </c>
      <c r="K27" s="134">
        <f t="shared" si="17"/>
        <v>3097.5562507626423</v>
      </c>
      <c r="L27" s="135">
        <f>IF(J27*'Grid Power'!K37&lt;0,0,J27*'Grid Power'!K26)</f>
        <v>452.32353826610046</v>
      </c>
      <c r="M27" s="136">
        <v>0</v>
      </c>
      <c r="N27" s="136">
        <f>N26*(1+Constants!$D$20)</f>
        <v>59.754628431115549</v>
      </c>
      <c r="O27" s="136">
        <v>0</v>
      </c>
      <c r="P27" s="136">
        <v>0</v>
      </c>
      <c r="Q27" s="136">
        <f>K27*'Grid Power'!$L$18</f>
        <v>325.42799590217288</v>
      </c>
      <c r="R27" s="136">
        <v>0</v>
      </c>
      <c r="S27" s="135">
        <f t="shared" si="18"/>
        <v>-186.65017079504315</v>
      </c>
      <c r="T27" s="135">
        <f>S27+'Analysis (Nothing)'!D14</f>
        <v>1259.9526521493519</v>
      </c>
      <c r="U27" s="135">
        <v>0</v>
      </c>
      <c r="V27" s="135">
        <f>W26*Configurations!$C$47</f>
        <v>171.75133385025001</v>
      </c>
      <c r="W27" s="135">
        <f t="shared" si="19"/>
        <v>400.75311231725004</v>
      </c>
      <c r="X27" s="135">
        <v>0</v>
      </c>
      <c r="Y27" s="135">
        <f>Z26*Configurations!$D$47</f>
        <v>60.809950420650004</v>
      </c>
      <c r="Z27" s="135">
        <f t="shared" si="20"/>
        <v>547.28955378584999</v>
      </c>
      <c r="AA27" s="136">
        <v>0</v>
      </c>
      <c r="AB27" s="135">
        <f>AC26*Configurations!$E$47</f>
        <v>78.585318604800008</v>
      </c>
      <c r="AC27" s="135">
        <f t="shared" si="21"/>
        <v>314.34127441919998</v>
      </c>
      <c r="AD27" s="136">
        <f t="shared" si="22"/>
        <v>948.80604927365187</v>
      </c>
      <c r="AE27" s="135">
        <f>AD27*Constants!$D$23</f>
        <v>94.880604927365198</v>
      </c>
      <c r="AF27" s="135">
        <f t="shared" si="23"/>
        <v>1165.0720472219868</v>
      </c>
      <c r="AG27" s="150">
        <f>AF27*(1+Constants!$D$20)^-H27</f>
        <v>974.88017063403606</v>
      </c>
    </row>
    <row r="28" spans="2:36">
      <c r="H28" s="132">
        <v>10</v>
      </c>
      <c r="I28" s="139">
        <f>I27*(1-Constants!$D$11)</f>
        <v>0.95111013046577186</v>
      </c>
      <c r="J28" s="134">
        <f t="shared" si="11"/>
        <v>2607.1350348929736</v>
      </c>
      <c r="K28" s="134">
        <f t="shared" si="17"/>
        <v>3082.0684695088289</v>
      </c>
      <c r="L28" s="135">
        <f>IF(J28*'Grid Power'!K38&lt;0,0,J28*'Grid Power'!K27)</f>
        <v>475.44589884662719</v>
      </c>
      <c r="M28" s="136">
        <v>0</v>
      </c>
      <c r="N28" s="136">
        <f>N27*(1+Constants!$D$20)</f>
        <v>60.949720999737863</v>
      </c>
      <c r="O28" s="136">
        <f>Configurations!$D$38+Configurations!$D$40</f>
        <v>5055.8</v>
      </c>
      <c r="P28" s="136">
        <v>0</v>
      </c>
      <c r="Q28" s="136">
        <f>K28*'Grid Power'!$L$18</f>
        <v>323.80085592266198</v>
      </c>
      <c r="R28" s="136">
        <v>0</v>
      </c>
      <c r="S28" s="135">
        <f t="shared" si="18"/>
        <v>-5268.3947639237031</v>
      </c>
      <c r="T28" s="135">
        <f>S28+'Analysis (Nothing)'!D15</f>
        <v>-3754.7716007778945</v>
      </c>
      <c r="U28" s="135">
        <f>Configurations!$D$38/2</f>
        <v>1487</v>
      </c>
      <c r="V28" s="135">
        <f>W27*Configurations!$C$47</f>
        <v>120.225933695175</v>
      </c>
      <c r="W28" s="135">
        <f t="shared" si="19"/>
        <v>1767.5271786220751</v>
      </c>
      <c r="X28" s="135">
        <v>0</v>
      </c>
      <c r="Y28" s="135">
        <f>Z27*Configurations!$D$47</f>
        <v>54.728955378584999</v>
      </c>
      <c r="Z28" s="135">
        <f t="shared" si="20"/>
        <v>492.56059840726499</v>
      </c>
      <c r="AA28" s="136">
        <f>Configurations!$D$40/2</f>
        <v>1040.9000000000001</v>
      </c>
      <c r="AB28" s="135">
        <f>AC27*Configurations!$E$47</f>
        <v>62.868254883839995</v>
      </c>
      <c r="AC28" s="135">
        <f t="shared" si="21"/>
        <v>1292.3730195353601</v>
      </c>
      <c r="AD28" s="136">
        <f t="shared" si="22"/>
        <v>0</v>
      </c>
      <c r="AE28" s="135">
        <f>AD28*Constants!$D$23</f>
        <v>0</v>
      </c>
      <c r="AF28" s="135">
        <f t="shared" si="23"/>
        <v>-3754.7716007778945</v>
      </c>
      <c r="AG28" s="150">
        <f>AF28*(1+Constants!$D$20)^-H28</f>
        <v>-3080.2204991176613</v>
      </c>
    </row>
    <row r="29" spans="2:36">
      <c r="H29" s="132">
        <v>11</v>
      </c>
      <c r="I29" s="139">
        <f>I28*(1-Constants!$D$11)</f>
        <v>0.94635457981344295</v>
      </c>
      <c r="J29" s="134">
        <f t="shared" si="11"/>
        <v>2618.9554967698723</v>
      </c>
      <c r="K29" s="134">
        <f t="shared" si="17"/>
        <v>3066.6581271612845</v>
      </c>
      <c r="L29" s="135">
        <f>IF(J29*'Grid Power'!K39&lt;0,0,J29*'Grid Power'!K28)</f>
        <v>499.78041013948183</v>
      </c>
      <c r="M29" s="136">
        <v>0</v>
      </c>
      <c r="N29" s="136">
        <f>N28*(1+Constants!$D$20)</f>
        <v>62.168715419732621</v>
      </c>
      <c r="O29" s="136">
        <v>0</v>
      </c>
      <c r="P29" s="136">
        <v>0</v>
      </c>
      <c r="Q29" s="136">
        <f>K29*'Grid Power'!$L$18</f>
        <v>322.18185164304867</v>
      </c>
      <c r="R29" s="136">
        <v>0</v>
      </c>
      <c r="S29" s="135">
        <f t="shared" si="18"/>
        <v>-239.76727391616583</v>
      </c>
      <c r="T29" s="135">
        <f>S29+'Analysis (Nothing)'!D16</f>
        <v>1344.1456258984153</v>
      </c>
      <c r="U29" s="135">
        <f>Configurations!$D$38/2</f>
        <v>1487</v>
      </c>
      <c r="V29" s="135">
        <f>W28*Configurations!$C$47</f>
        <v>530.25815358662248</v>
      </c>
      <c r="W29" s="135">
        <f t="shared" si="19"/>
        <v>2724.2690250354526</v>
      </c>
      <c r="X29" s="135">
        <v>0</v>
      </c>
      <c r="Y29" s="135">
        <f>Z28*Configurations!$D$47</f>
        <v>49.2560598407265</v>
      </c>
      <c r="Z29" s="135">
        <f t="shared" si="20"/>
        <v>443.3045385665385</v>
      </c>
      <c r="AA29" s="136">
        <f>Configurations!$D$40/2</f>
        <v>1040.9000000000001</v>
      </c>
      <c r="AB29" s="135">
        <f>AC28*Configurations!$E$47</f>
        <v>258.47460390707204</v>
      </c>
      <c r="AC29" s="135">
        <f t="shared" si="21"/>
        <v>2074.7984156282882</v>
      </c>
      <c r="AD29" s="136">
        <f t="shared" si="22"/>
        <v>506.15680856399445</v>
      </c>
      <c r="AE29" s="135">
        <f>AD29*Constants!$D$23</f>
        <v>50.61568085639945</v>
      </c>
      <c r="AF29" s="135">
        <f t="shared" si="23"/>
        <v>1293.5299450420159</v>
      </c>
      <c r="AG29" s="150">
        <f>AF29*(1+Constants!$D$20)^-H29</f>
        <v>1040.3383247576676</v>
      </c>
    </row>
    <row r="30" spans="2:36">
      <c r="H30" s="132">
        <v>12</v>
      </c>
      <c r="I30" s="139">
        <f>I29*(1-Constants!$D$11)</f>
        <v>0.94162280691437572</v>
      </c>
      <c r="J30" s="134">
        <f t="shared" si="11"/>
        <v>2630.7168563373866</v>
      </c>
      <c r="K30" s="134">
        <f t="shared" si="17"/>
        <v>3051.3248365254781</v>
      </c>
      <c r="L30" s="135">
        <f>IF(J30*'Grid Power'!K40&lt;0,0,J30*'Grid Power'!K29)</f>
        <v>525.391402566951</v>
      </c>
      <c r="M30" s="136">
        <v>0</v>
      </c>
      <c r="N30" s="136">
        <f>N29*(1+Constants!$D$20)</f>
        <v>63.412089728127278</v>
      </c>
      <c r="O30" s="136">
        <v>0</v>
      </c>
      <c r="P30" s="136">
        <v>0</v>
      </c>
      <c r="Q30" s="136">
        <f>K30*'Grid Power'!$L$18</f>
        <v>320.57094238483342</v>
      </c>
      <c r="R30" s="136">
        <v>0</v>
      </c>
      <c r="S30" s="135">
        <f t="shared" si="18"/>
        <v>-268.23254991024487</v>
      </c>
      <c r="T30" s="135">
        <f>S30+'Analysis (Nothing)'!D17</f>
        <v>1389.4029521608804</v>
      </c>
      <c r="U30" s="135">
        <v>0</v>
      </c>
      <c r="V30" s="135">
        <f>W29*Configurations!$C$47</f>
        <v>817.28070751063581</v>
      </c>
      <c r="W30" s="135">
        <f t="shared" si="19"/>
        <v>1906.9883175248169</v>
      </c>
      <c r="X30" s="135">
        <v>0</v>
      </c>
      <c r="Y30" s="135">
        <f>Z29*Configurations!$D$47</f>
        <v>44.330453856653854</v>
      </c>
      <c r="Z30" s="135">
        <f t="shared" si="20"/>
        <v>398.97408470988466</v>
      </c>
      <c r="AA30" s="136">
        <v>0</v>
      </c>
      <c r="AB30" s="135">
        <f>AC29*Configurations!$E$47</f>
        <v>414.95968312565765</v>
      </c>
      <c r="AC30" s="135">
        <f t="shared" si="21"/>
        <v>1659.8387325026306</v>
      </c>
      <c r="AD30" s="136">
        <f t="shared" si="22"/>
        <v>112.83210766793309</v>
      </c>
      <c r="AE30" s="135">
        <f>AD30*Constants!$D$23</f>
        <v>11.28321076679331</v>
      </c>
      <c r="AF30" s="135">
        <f t="shared" si="23"/>
        <v>1378.1197413940872</v>
      </c>
      <c r="AG30" s="150">
        <f>AF30*(1+Constants!$D$20)^-H30</f>
        <v>1086.638011223595</v>
      </c>
    </row>
    <row r="31" spans="2:36">
      <c r="H31" s="132">
        <v>13</v>
      </c>
      <c r="I31" s="139">
        <f>I30*(1-Constants!$D$11)</f>
        <v>0.93691469287980389</v>
      </c>
      <c r="J31" s="134">
        <f t="shared" si="11"/>
        <v>2642.4194091070631</v>
      </c>
      <c r="K31" s="134">
        <f t="shared" si="17"/>
        <v>3036.068212342851</v>
      </c>
      <c r="L31" s="135">
        <f>IF(J31*'Grid Power'!K41&lt;0,0,J31*'Grid Power'!K30)</f>
        <v>552.34663003746516</v>
      </c>
      <c r="M31" s="136">
        <v>0</v>
      </c>
      <c r="N31" s="136">
        <f>N30*(1+Constants!$D$20)</f>
        <v>64.680331522689826</v>
      </c>
      <c r="O31" s="136">
        <v>0</v>
      </c>
      <c r="P31" s="136">
        <v>0</v>
      </c>
      <c r="Q31" s="136">
        <f>K31*'Grid Power'!$L$18</f>
        <v>318.96808767290929</v>
      </c>
      <c r="R31" s="136">
        <v>0</v>
      </c>
      <c r="S31" s="135">
        <f t="shared" si="18"/>
        <v>-298.05887388724568</v>
      </c>
      <c r="T31" s="135">
        <f>S31+'Analysis (Nothing)'!D18</f>
        <v>1436.9038301315593</v>
      </c>
      <c r="U31" s="135">
        <v>0</v>
      </c>
      <c r="V31" s="135">
        <f>W30*Configurations!$C$47</f>
        <v>572.0964952574451</v>
      </c>
      <c r="W31" s="135">
        <f t="shared" si="19"/>
        <v>1334.8918222673719</v>
      </c>
      <c r="X31" s="135">
        <v>0</v>
      </c>
      <c r="Y31" s="135">
        <f>Z30*Configurations!$D$47</f>
        <v>39.897408470988466</v>
      </c>
      <c r="Z31" s="135">
        <f t="shared" si="20"/>
        <v>359.0766762388962</v>
      </c>
      <c r="AA31" s="136">
        <v>0</v>
      </c>
      <c r="AB31" s="135">
        <f>AC30*Configurations!$E$47</f>
        <v>331.96774650052612</v>
      </c>
      <c r="AC31" s="135">
        <f t="shared" si="21"/>
        <v>1327.8709860021045</v>
      </c>
      <c r="AD31" s="136">
        <f t="shared" si="22"/>
        <v>492.94217990259961</v>
      </c>
      <c r="AE31" s="135">
        <f>AD31*Constants!$D$23</f>
        <v>49.294217990259966</v>
      </c>
      <c r="AF31" s="135">
        <f t="shared" si="23"/>
        <v>1387.6096121412993</v>
      </c>
      <c r="AG31" s="150">
        <f>AF31*(1+Constants!$D$20)^-H31</f>
        <v>1072.6673622989449</v>
      </c>
    </row>
    <row r="32" spans="2:36">
      <c r="H32" s="132">
        <v>14</v>
      </c>
      <c r="I32" s="139">
        <f>I31*(1-Constants!$D$11)</f>
        <v>0.9322301194154049</v>
      </c>
      <c r="J32" s="134">
        <f t="shared" si="11"/>
        <v>2654.0634491128922</v>
      </c>
      <c r="K32" s="134">
        <f t="shared" si="17"/>
        <v>3020.8878712811365</v>
      </c>
      <c r="L32" s="135">
        <f>IF(J32*'Grid Power'!K42&lt;0,0,J32*'Grid Power'!K31)</f>
        <v>580.71745177508433</v>
      </c>
      <c r="M32" s="136">
        <v>0</v>
      </c>
      <c r="N32" s="136">
        <f>N31*(1+Constants!$D$20)</f>
        <v>65.973938153143621</v>
      </c>
      <c r="O32" s="136">
        <v>0</v>
      </c>
      <c r="P32" s="136">
        <v>0</v>
      </c>
      <c r="Q32" s="136">
        <f>K32*'Grid Power'!$L$18</f>
        <v>317.37324723454469</v>
      </c>
      <c r="R32" s="136">
        <v>0</v>
      </c>
      <c r="S32" s="135">
        <f t="shared" si="18"/>
        <v>-329.31814269368328</v>
      </c>
      <c r="T32" s="135">
        <f>S32+'Analysis (Nothing)'!D19</f>
        <v>1486.7567819816579</v>
      </c>
      <c r="U32" s="135">
        <v>0</v>
      </c>
      <c r="V32" s="135">
        <f>W31*Configurations!$C$47</f>
        <v>400.46754668021157</v>
      </c>
      <c r="W32" s="135">
        <f t="shared" si="19"/>
        <v>934.42427558716031</v>
      </c>
      <c r="X32" s="135">
        <v>0</v>
      </c>
      <c r="Y32" s="135">
        <f>Z31*Configurations!$D$47</f>
        <v>35.907667623889623</v>
      </c>
      <c r="Z32" s="135">
        <f t="shared" si="20"/>
        <v>323.16900861500659</v>
      </c>
      <c r="AA32" s="136">
        <v>0</v>
      </c>
      <c r="AB32" s="135">
        <f>AC31*Configurations!$E$47</f>
        <v>265.57419720042088</v>
      </c>
      <c r="AC32" s="135">
        <f t="shared" si="21"/>
        <v>1062.2967888016835</v>
      </c>
      <c r="AD32" s="136">
        <f t="shared" si="22"/>
        <v>784.80737047713569</v>
      </c>
      <c r="AE32" s="135">
        <f>AD32*Constants!$D$23</f>
        <v>78.480737047713575</v>
      </c>
      <c r="AF32" s="135">
        <f t="shared" si="23"/>
        <v>1408.2760449339444</v>
      </c>
      <c r="AG32" s="150">
        <f>AF32*(1+Constants!$D$20)^-H32</f>
        <v>1067.2972421814122</v>
      </c>
    </row>
    <row r="33" spans="8:36">
      <c r="H33" s="132">
        <v>15</v>
      </c>
      <c r="I33" s="139">
        <f>I32*(1-Constants!$D$11)</f>
        <v>0.92756896881832784</v>
      </c>
      <c r="J33" s="134">
        <f t="shared" si="11"/>
        <v>2665.6492689186912</v>
      </c>
      <c r="K33" s="134">
        <f t="shared" si="17"/>
        <v>3005.7834319247308</v>
      </c>
      <c r="L33" s="135">
        <f>IF(J33*'Grid Power'!K43&lt;0,0,J33*'Grid Power'!K32)</f>
        <v>610.57902377026585</v>
      </c>
      <c r="M33" s="136">
        <v>0</v>
      </c>
      <c r="N33" s="136">
        <f>N32*(1+Constants!$D$20)</f>
        <v>67.293416916206496</v>
      </c>
      <c r="O33" s="136">
        <v>0</v>
      </c>
      <c r="P33" s="136">
        <v>0</v>
      </c>
      <c r="Q33" s="136">
        <f>K33*'Grid Power'!$L$18</f>
        <v>315.78638099837195</v>
      </c>
      <c r="R33" s="136">
        <v>0</v>
      </c>
      <c r="S33" s="135">
        <f t="shared" si="18"/>
        <v>-362.08605968810042</v>
      </c>
      <c r="T33" s="135">
        <f>S33+'Analysis (Nothing)'!D20</f>
        <v>1539.0756495977955</v>
      </c>
      <c r="U33" s="135">
        <v>0</v>
      </c>
      <c r="V33" s="135">
        <f>W32*Configurations!$C$47</f>
        <v>280.32728267614806</v>
      </c>
      <c r="W33" s="135">
        <f t="shared" si="19"/>
        <v>654.09699291101219</v>
      </c>
      <c r="X33" s="135">
        <v>0</v>
      </c>
      <c r="Y33" s="135">
        <f>Z32*Configurations!$D$47</f>
        <v>32.316900861500663</v>
      </c>
      <c r="Z33" s="135">
        <f t="shared" si="20"/>
        <v>290.85210775350595</v>
      </c>
      <c r="AA33" s="136">
        <v>0</v>
      </c>
      <c r="AB33" s="135">
        <f>AC32*Configurations!$E$47</f>
        <v>212.45935776033673</v>
      </c>
      <c r="AC33" s="135">
        <f t="shared" si="21"/>
        <v>849.8374310413468</v>
      </c>
      <c r="AD33" s="136">
        <f t="shared" si="22"/>
        <v>1013.9721082998101</v>
      </c>
      <c r="AE33" s="135">
        <f>AD33*Constants!$D$23</f>
        <v>101.39721082998102</v>
      </c>
      <c r="AF33" s="135">
        <f t="shared" si="23"/>
        <v>1437.6784387678144</v>
      </c>
      <c r="AG33" s="150">
        <f>AF33*(1+Constants!$D$20)^-H33</f>
        <v>1068.2162569913835</v>
      </c>
    </row>
    <row r="34" spans="8:36">
      <c r="H34" s="132">
        <v>16</v>
      </c>
      <c r="I34" s="139">
        <f>I33*(1-Constants!$D$11)</f>
        <v>0.92293112397423616</v>
      </c>
      <c r="J34" s="134">
        <f t="shared" si="11"/>
        <v>2677.1771596254612</v>
      </c>
      <c r="K34" s="134">
        <f t="shared" si="17"/>
        <v>2990.7545147651072</v>
      </c>
      <c r="L34" s="135">
        <f>IF(J34*'Grid Power'!K44&lt;0,0,J34*'Grid Power'!K33)</f>
        <v>642.01050035892729</v>
      </c>
      <c r="M34" s="136">
        <v>0</v>
      </c>
      <c r="N34" s="136">
        <f>N33*(1+Constants!$D$20)</f>
        <v>68.639285254530634</v>
      </c>
      <c r="O34" s="136">
        <v>0</v>
      </c>
      <c r="P34" s="136">
        <v>0</v>
      </c>
      <c r="Q34" s="136">
        <f>K34*'Grid Power'!$L$18</f>
        <v>314.20744909338009</v>
      </c>
      <c r="R34" s="136">
        <v>0</v>
      </c>
      <c r="S34" s="135">
        <f t="shared" si="18"/>
        <v>-396.44233652007779</v>
      </c>
      <c r="T34" s="135">
        <f>S34+'Analysis (Nothing)'!D21</f>
        <v>1593.9798565874571</v>
      </c>
      <c r="U34" s="135">
        <v>0</v>
      </c>
      <c r="V34" s="135">
        <f>W33*Configurations!$C$47</f>
        <v>196.22909787330366</v>
      </c>
      <c r="W34" s="135">
        <f t="shared" si="19"/>
        <v>457.86789503770854</v>
      </c>
      <c r="X34" s="135">
        <v>0</v>
      </c>
      <c r="Y34" s="135">
        <f>Z33*Configurations!$D$47</f>
        <v>29.085210775350596</v>
      </c>
      <c r="Z34" s="135">
        <f t="shared" si="20"/>
        <v>261.76689697815533</v>
      </c>
      <c r="AA34" s="136">
        <v>0</v>
      </c>
      <c r="AB34" s="135">
        <f>AC33*Configurations!$E$47</f>
        <v>169.96748620826938</v>
      </c>
      <c r="AC34" s="135">
        <f t="shared" si="21"/>
        <v>679.8699448330774</v>
      </c>
      <c r="AD34" s="136">
        <f t="shared" si="22"/>
        <v>1198.6980617305335</v>
      </c>
      <c r="AE34" s="135">
        <f>AD34*Constants!$D$23</f>
        <v>119.86980617305335</v>
      </c>
      <c r="AF34" s="135">
        <f t="shared" si="23"/>
        <v>1474.1100504144038</v>
      </c>
      <c r="AG34" s="150">
        <f>AF34*(1+Constants!$D$20)^-H34</f>
        <v>1073.8092951784515</v>
      </c>
    </row>
    <row r="35" spans="8:36">
      <c r="H35" s="132">
        <v>17</v>
      </c>
      <c r="I35" s="139">
        <f>I34*(1-Constants!$D$11)</f>
        <v>0.91831646835436498</v>
      </c>
      <c r="J35" s="134">
        <f t="shared" si="11"/>
        <v>2688.6474108786979</v>
      </c>
      <c r="K35" s="134">
        <f t="shared" si="17"/>
        <v>2975.8007421912816</v>
      </c>
      <c r="L35" s="135">
        <f>IF(J35*'Grid Power'!K45&lt;0,0,J35*'Grid Power'!K34)</f>
        <v>675.09524646342618</v>
      </c>
      <c r="M35" s="136">
        <v>0</v>
      </c>
      <c r="N35" s="136">
        <f>N34*(1+Constants!$D$20)</f>
        <v>70.012070959621255</v>
      </c>
      <c r="O35" s="136">
        <v>0</v>
      </c>
      <c r="P35" s="136">
        <v>0</v>
      </c>
      <c r="Q35" s="136">
        <f>K35*'Grid Power'!$L$18</f>
        <v>312.63641184791322</v>
      </c>
      <c r="R35" s="136">
        <v>0</v>
      </c>
      <c r="S35" s="135">
        <f t="shared" si="18"/>
        <v>-432.47090557513422</v>
      </c>
      <c r="T35" s="135">
        <f>S35+'Analysis (Nothing)'!D22</f>
        <v>1651.594683235201</v>
      </c>
      <c r="U35" s="135">
        <v>0</v>
      </c>
      <c r="V35" s="135">
        <f>W34*Configurations!$C$47</f>
        <v>137.36036851131254</v>
      </c>
      <c r="W35" s="135">
        <f t="shared" si="19"/>
        <v>320.50752652639596</v>
      </c>
      <c r="X35" s="135">
        <v>0</v>
      </c>
      <c r="Y35" s="135">
        <f>Z34*Configurations!$D$47</f>
        <v>26.176689697815533</v>
      </c>
      <c r="Z35" s="135">
        <f t="shared" si="20"/>
        <v>235.5902072803398</v>
      </c>
      <c r="AA35" s="136">
        <v>0</v>
      </c>
      <c r="AB35" s="135">
        <f>AC34*Configurations!$E$47</f>
        <v>135.97398896661548</v>
      </c>
      <c r="AC35" s="135">
        <f t="shared" si="21"/>
        <v>543.89595586646192</v>
      </c>
      <c r="AD35" s="136">
        <f t="shared" si="22"/>
        <v>1352.0836360594574</v>
      </c>
      <c r="AE35" s="135">
        <f>AD35*Constants!$D$23</f>
        <v>135.20836360594575</v>
      </c>
      <c r="AF35" s="135">
        <f t="shared" si="23"/>
        <v>1516.3863196292552</v>
      </c>
      <c r="AG35" s="150">
        <f>AF35*(1+Constants!$D$20)^-H35</f>
        <v>1082.946339713202</v>
      </c>
      <c r="AH35" s="147"/>
      <c r="AI35" s="147"/>
    </row>
    <row r="36" spans="8:36">
      <c r="H36" s="132">
        <v>18</v>
      </c>
      <c r="I36" s="139">
        <f>I35*(1-Constants!$D$11)</f>
        <v>0.91372488601259316</v>
      </c>
      <c r="J36" s="134">
        <f t="shared" si="11"/>
        <v>2700.0603108756677</v>
      </c>
      <c r="K36" s="134">
        <f t="shared" si="17"/>
        <v>2960.9217384803251</v>
      </c>
      <c r="L36" s="135">
        <f>IF(J36*'Grid Power'!K46&lt;0,0,J36*'Grid Power'!K35)</f>
        <v>709.92106105708103</v>
      </c>
      <c r="M36" s="136">
        <v>0</v>
      </c>
      <c r="N36" s="136">
        <f>N35*(1+Constants!$D$20)</f>
        <v>71.412312378813681</v>
      </c>
      <c r="O36" s="136">
        <v>0</v>
      </c>
      <c r="P36" s="136">
        <v>0</v>
      </c>
      <c r="Q36" s="136">
        <f>K36*'Grid Power'!$L$18</f>
        <v>311.07322978867364</v>
      </c>
      <c r="R36" s="136">
        <v>0</v>
      </c>
      <c r="S36" s="135">
        <f t="shared" si="18"/>
        <v>-470.26014364722107</v>
      </c>
      <c r="T36" s="135">
        <f>S36+'Analysis (Nothing)'!D23</f>
        <v>1712.051555051552</v>
      </c>
      <c r="U36" s="135">
        <v>0</v>
      </c>
      <c r="V36" s="135">
        <f>W35*Configurations!$C$47</f>
        <v>96.152257957918792</v>
      </c>
      <c r="W36" s="135">
        <f t="shared" si="19"/>
        <v>224.35526856847719</v>
      </c>
      <c r="X36" s="135">
        <v>0</v>
      </c>
      <c r="Y36" s="135">
        <f>Z35*Configurations!$D$47</f>
        <v>23.559020728033982</v>
      </c>
      <c r="Z36" s="135">
        <f t="shared" si="20"/>
        <v>212.03118655230583</v>
      </c>
      <c r="AA36" s="136">
        <v>0</v>
      </c>
      <c r="AB36" s="135">
        <f>AC35*Configurations!$E$47</f>
        <v>108.77919117329239</v>
      </c>
      <c r="AC36" s="135">
        <f t="shared" si="21"/>
        <v>435.11676469316956</v>
      </c>
      <c r="AD36" s="136">
        <f t="shared" si="22"/>
        <v>1483.5610851923066</v>
      </c>
      <c r="AE36" s="135">
        <f>AD36*Constants!$D$23</f>
        <v>148.35610851923067</v>
      </c>
      <c r="AF36" s="135">
        <f t="shared" si="23"/>
        <v>1563.6954465323213</v>
      </c>
      <c r="AG36" s="150">
        <f>AF36*(1+Constants!$D$20)^-H36</f>
        <v>1094.8360264806613</v>
      </c>
      <c r="AH36" s="147"/>
      <c r="AI36" s="147"/>
    </row>
    <row r="37" spans="8:36">
      <c r="H37" s="132">
        <v>19</v>
      </c>
      <c r="I37" s="139">
        <f>I36*(1-Constants!$D$11)</f>
        <v>0.90915626158253016</v>
      </c>
      <c r="J37" s="134">
        <f t="shared" si="11"/>
        <v>2711.4161463726532</v>
      </c>
      <c r="K37" s="134">
        <f t="shared" si="17"/>
        <v>2946.1171297879237</v>
      </c>
      <c r="L37" s="135">
        <f>IF(J37*'Grid Power'!K47&lt;0,0,J37*'Grid Power'!K36)</f>
        <v>746.58041244333833</v>
      </c>
      <c r="M37" s="136">
        <v>0</v>
      </c>
      <c r="N37" s="136">
        <f>N36*(1+Constants!$D$20)</f>
        <v>72.840558626389949</v>
      </c>
      <c r="O37" s="136">
        <v>0</v>
      </c>
      <c r="P37" s="136">
        <v>0</v>
      </c>
      <c r="Q37" s="136">
        <f>K37*'Grid Power'!$L$18</f>
        <v>309.51786363973031</v>
      </c>
      <c r="R37" s="136">
        <v>0</v>
      </c>
      <c r="S37" s="135">
        <f t="shared" si="18"/>
        <v>-509.90310742999793</v>
      </c>
      <c r="T37" s="135">
        <f>S37+'Analysis (Nothing)'!D24</f>
        <v>1775.4883455884237</v>
      </c>
      <c r="U37" s="135">
        <v>0</v>
      </c>
      <c r="V37" s="135">
        <f>W36*Configurations!$C$47</f>
        <v>67.306580570543147</v>
      </c>
      <c r="W37" s="135">
        <f t="shared" si="19"/>
        <v>157.04868799793405</v>
      </c>
      <c r="X37" s="135">
        <v>0</v>
      </c>
      <c r="Y37" s="135">
        <f>Z36*Configurations!$D$47</f>
        <v>21.203118655230583</v>
      </c>
      <c r="Z37" s="135">
        <f t="shared" si="20"/>
        <v>190.82806789707524</v>
      </c>
      <c r="AA37" s="136">
        <v>0</v>
      </c>
      <c r="AB37" s="135">
        <f>AC36*Configurations!$E$47</f>
        <v>87.02335293863392</v>
      </c>
      <c r="AC37" s="135">
        <f t="shared" si="21"/>
        <v>348.09341175453562</v>
      </c>
      <c r="AD37" s="136">
        <f t="shared" si="22"/>
        <v>1599.955293424016</v>
      </c>
      <c r="AE37" s="135">
        <f>AD37*Constants!$D$23</f>
        <v>159.9955293424016</v>
      </c>
      <c r="AF37" s="135">
        <f>T37-AE37</f>
        <v>1615.4928162460221</v>
      </c>
      <c r="AG37" s="150">
        <f>AF37*(1+Constants!$D$20)^-H37</f>
        <v>1108.9239612590877</v>
      </c>
      <c r="AH37" s="147"/>
      <c r="AI37" s="147"/>
    </row>
    <row r="38" spans="8:36">
      <c r="H38" s="140">
        <v>20</v>
      </c>
      <c r="I38" s="141">
        <f>I37*(1-Constants!$D$11)</f>
        <v>0.90461048027461755</v>
      </c>
      <c r="J38" s="142">
        <f t="shared" si="11"/>
        <v>2722.7152026921535</v>
      </c>
      <c r="K38" s="142">
        <f t="shared" si="17"/>
        <v>2931.3865441389839</v>
      </c>
      <c r="L38" s="143">
        <f>IF(J38*'Grid Power'!K48&lt;0,0,J38*'Grid Power'!K37)</f>
        <v>785.17068597168918</v>
      </c>
      <c r="M38" s="144">
        <v>0</v>
      </c>
      <c r="N38" s="144">
        <f>N37*(1+Constants!$D$20)</f>
        <v>74.297369798917757</v>
      </c>
      <c r="O38" s="144">
        <v>0</v>
      </c>
      <c r="P38" s="144">
        <v>0</v>
      </c>
      <c r="Q38" s="144">
        <f>K38*'Grid Power'!$L$18</f>
        <v>307.97027432153163</v>
      </c>
      <c r="R38" s="144">
        <f>W38+Z38+AC38</f>
        <v>560.15407210955004</v>
      </c>
      <c r="S38" s="143">
        <f t="shared" si="18"/>
        <v>8.6562906604747241</v>
      </c>
      <c r="T38" s="143">
        <f>S38+'Analysis (Nothing)'!D25</f>
        <v>2402.2037663379388</v>
      </c>
      <c r="U38" s="143">
        <v>0</v>
      </c>
      <c r="V38" s="143">
        <f>W37*Configurations!$C$47</f>
        <v>47.114606399380214</v>
      </c>
      <c r="W38" s="143">
        <f t="shared" si="19"/>
        <v>109.93408159855383</v>
      </c>
      <c r="X38" s="143">
        <v>0</v>
      </c>
      <c r="Y38" s="143">
        <f>Z37*Configurations!$D$47</f>
        <v>19.082806789707526</v>
      </c>
      <c r="Z38" s="143">
        <f t="shared" si="20"/>
        <v>171.74526110736772</v>
      </c>
      <c r="AA38" s="144">
        <v>0</v>
      </c>
      <c r="AB38" s="143">
        <f>AC37*Configurations!$E$47</f>
        <v>69.618682350907122</v>
      </c>
      <c r="AC38" s="143">
        <f t="shared" si="21"/>
        <v>278.47472940362849</v>
      </c>
      <c r="AD38" s="144">
        <f t="shared" si="22"/>
        <v>2266.3876707979443</v>
      </c>
      <c r="AE38" s="143">
        <f>AD38*Constants!$D$23</f>
        <v>226.63876707979443</v>
      </c>
      <c r="AF38" s="143">
        <f>T38-AE38</f>
        <v>2175.5649992581443</v>
      </c>
      <c r="AG38" s="153">
        <f>AF38*(1+Constants!$D$20)^-H38</f>
        <v>1464.0928778139842</v>
      </c>
      <c r="AH38" s="147"/>
      <c r="AI38" s="147"/>
    </row>
    <row r="39" spans="8:36">
      <c r="H39" s="147"/>
      <c r="I39" s="139"/>
      <c r="J39" s="134"/>
      <c r="K39" s="134"/>
      <c r="L39" s="135"/>
      <c r="M39" s="136"/>
      <c r="N39" s="136"/>
      <c r="O39" s="136"/>
      <c r="P39" s="136"/>
      <c r="Q39" s="136"/>
      <c r="R39" s="136"/>
      <c r="S39" s="135"/>
      <c r="T39" s="135"/>
      <c r="U39" s="135"/>
      <c r="V39" s="135"/>
      <c r="W39" s="135"/>
      <c r="X39" s="135"/>
      <c r="Y39" s="135"/>
      <c r="Z39" s="135"/>
      <c r="AA39" s="136"/>
      <c r="AB39" s="135"/>
      <c r="AC39" s="135"/>
      <c r="AD39" s="136"/>
      <c r="AE39" s="135"/>
      <c r="AF39" s="135"/>
      <c r="AG39" s="136"/>
      <c r="AH39" s="147"/>
      <c r="AI39" s="147"/>
    </row>
    <row r="40" spans="8:36">
      <c r="H40" s="120" t="s">
        <v>203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47"/>
      <c r="AI40" s="121" t="s">
        <v>194</v>
      </c>
      <c r="AJ40" s="122">
        <f>IRR(AF44:AF84)</f>
        <v>9.7544573524646738E-2</v>
      </c>
    </row>
    <row r="41" spans="8:36">
      <c r="H41" s="120" t="s">
        <v>56</v>
      </c>
      <c r="I41" s="168" t="s">
        <v>116</v>
      </c>
      <c r="J41" s="170"/>
      <c r="K41" s="169"/>
      <c r="L41" s="168" t="s">
        <v>6</v>
      </c>
      <c r="M41" s="170"/>
      <c r="N41" s="170"/>
      <c r="O41" s="169"/>
      <c r="P41" s="168" t="s">
        <v>166</v>
      </c>
      <c r="Q41" s="170"/>
      <c r="R41" s="169"/>
      <c r="S41" s="168" t="s">
        <v>174</v>
      </c>
      <c r="T41" s="169"/>
      <c r="U41" s="168" t="s">
        <v>236</v>
      </c>
      <c r="V41" s="170"/>
      <c r="W41" s="169"/>
      <c r="X41" s="168" t="s">
        <v>237</v>
      </c>
      <c r="Y41" s="170"/>
      <c r="Z41" s="169"/>
      <c r="AA41" s="168" t="s">
        <v>254</v>
      </c>
      <c r="AB41" s="170"/>
      <c r="AC41" s="169"/>
      <c r="AD41" s="167"/>
      <c r="AE41" s="167"/>
      <c r="AF41" s="120" t="s">
        <v>197</v>
      </c>
      <c r="AG41" s="120"/>
      <c r="AH41" s="147"/>
      <c r="AI41" s="121" t="s">
        <v>195</v>
      </c>
      <c r="AJ41" s="126">
        <f>IRR(AG44:AG84)</f>
        <v>7.6024091690934714E-2</v>
      </c>
    </row>
    <row r="42" spans="8:36">
      <c r="H42" s="120"/>
      <c r="I42" s="123" t="s">
        <v>153</v>
      </c>
      <c r="J42" s="124" t="s">
        <v>170</v>
      </c>
      <c r="K42" s="124" t="s">
        <v>250</v>
      </c>
      <c r="L42" s="124" t="s">
        <v>162</v>
      </c>
      <c r="M42" s="124" t="s">
        <v>139</v>
      </c>
      <c r="N42" s="124" t="s">
        <v>164</v>
      </c>
      <c r="O42" s="124" t="s">
        <v>232</v>
      </c>
      <c r="P42" s="124" t="s">
        <v>163</v>
      </c>
      <c r="Q42" s="124" t="s">
        <v>165</v>
      </c>
      <c r="R42" s="124" t="s">
        <v>146</v>
      </c>
      <c r="S42" s="124" t="s">
        <v>174</v>
      </c>
      <c r="T42" s="124" t="s">
        <v>177</v>
      </c>
      <c r="U42" s="124" t="str">
        <f>"+CCA"</f>
        <v>+CCA</v>
      </c>
      <c r="V42" s="124" t="s">
        <v>8</v>
      </c>
      <c r="W42" s="124" t="s">
        <v>238</v>
      </c>
      <c r="X42" s="124" t="str">
        <f>"+CCA"</f>
        <v>+CCA</v>
      </c>
      <c r="Y42" s="124" t="s">
        <v>8</v>
      </c>
      <c r="Z42" s="124" t="s">
        <v>238</v>
      </c>
      <c r="AA42" s="124" t="str">
        <f>"+CCA"</f>
        <v>+CCA</v>
      </c>
      <c r="AB42" s="124" t="s">
        <v>8</v>
      </c>
      <c r="AC42" s="124" t="s">
        <v>238</v>
      </c>
      <c r="AD42" s="124" t="s">
        <v>172</v>
      </c>
      <c r="AE42" s="124" t="s">
        <v>175</v>
      </c>
      <c r="AF42" s="124" t="s">
        <v>196</v>
      </c>
      <c r="AG42" s="124" t="s">
        <v>196</v>
      </c>
      <c r="AH42" s="147"/>
      <c r="AI42" s="129" t="s">
        <v>198</v>
      </c>
      <c r="AJ42" s="158">
        <f>NPV(Constants!$D$21,'Analysis (B)'!AG45:AG84)+'Analysis (B)'!AG44</f>
        <v>10363.580319376746</v>
      </c>
    </row>
    <row r="43" spans="8:36">
      <c r="H43" s="175"/>
      <c r="I43" s="176"/>
      <c r="J43" s="177" t="s">
        <v>62</v>
      </c>
      <c r="K43" s="177" t="s">
        <v>62</v>
      </c>
      <c r="L43" s="177" t="s">
        <v>59</v>
      </c>
      <c r="M43" s="177" t="s">
        <v>59</v>
      </c>
      <c r="N43" s="177" t="s">
        <v>59</v>
      </c>
      <c r="O43" s="177" t="s">
        <v>59</v>
      </c>
      <c r="P43" s="177" t="s">
        <v>59</v>
      </c>
      <c r="Q43" s="177" t="s">
        <v>59</v>
      </c>
      <c r="R43" s="177" t="s">
        <v>59</v>
      </c>
      <c r="S43" s="177" t="s">
        <v>59</v>
      </c>
      <c r="T43" s="177" t="s">
        <v>59</v>
      </c>
      <c r="U43" s="177" t="s">
        <v>59</v>
      </c>
      <c r="V43" s="177" t="s">
        <v>59</v>
      </c>
      <c r="W43" s="177" t="s">
        <v>59</v>
      </c>
      <c r="X43" s="177" t="s">
        <v>59</v>
      </c>
      <c r="Y43" s="177" t="s">
        <v>59</v>
      </c>
      <c r="Z43" s="177" t="s">
        <v>59</v>
      </c>
      <c r="AA43" s="177" t="s">
        <v>59</v>
      </c>
      <c r="AB43" s="177" t="s">
        <v>59</v>
      </c>
      <c r="AC43" s="177" t="s">
        <v>59</v>
      </c>
      <c r="AD43" s="177" t="s">
        <v>59</v>
      </c>
      <c r="AE43" s="177" t="s">
        <v>59</v>
      </c>
      <c r="AF43" s="177" t="s">
        <v>59</v>
      </c>
      <c r="AG43" s="178" t="s">
        <v>178</v>
      </c>
      <c r="AI43" s="121" t="s">
        <v>199</v>
      </c>
      <c r="AJ43" s="165">
        <f>PMT(Constants!$D$21,5,-'Analysis (B)'!AJ42)</f>
        <v>2262.9351388129544</v>
      </c>
    </row>
    <row r="44" spans="8:36">
      <c r="H44" s="208">
        <v>0</v>
      </c>
      <c r="I44" s="209">
        <v>1</v>
      </c>
      <c r="J44" s="210">
        <v>0</v>
      </c>
      <c r="K44" s="210">
        <v>0</v>
      </c>
      <c r="L44" s="211">
        <v>0</v>
      </c>
      <c r="M44" s="212">
        <f>Configurations!$C$34</f>
        <v>14870</v>
      </c>
      <c r="N44" s="212">
        <f>Configurations!$C$31*1000*Constants!$D$63</f>
        <v>50</v>
      </c>
      <c r="O44" s="212">
        <v>0</v>
      </c>
      <c r="P44" s="212">
        <f>MIN(Configurations!$C$31*1000*Incentives!$C$5,Incentives!$F$5*$M$7)+Configurations!$C$31*1000*Incentives!$C$6</f>
        <v>4500</v>
      </c>
      <c r="Q44" s="212">
        <f>K44*'Grid Power'!$L$18</f>
        <v>0</v>
      </c>
      <c r="R44" s="212">
        <v>0</v>
      </c>
      <c r="S44" s="211">
        <f>SUM(P44:R44)-SUM(L44:O44)</f>
        <v>-10420</v>
      </c>
      <c r="T44" s="211">
        <f>S44+'Analysis (Nothing)'!D5</f>
        <v>-10420</v>
      </c>
      <c r="U44" s="211">
        <f>Configurations!$C$46/2</f>
        <v>4089.25</v>
      </c>
      <c r="V44" s="211">
        <f>0</f>
        <v>0</v>
      </c>
      <c r="W44" s="211">
        <f>V44+U44</f>
        <v>4089.25</v>
      </c>
      <c r="X44" s="211">
        <f>Configurations!$D$46/2</f>
        <v>669.15</v>
      </c>
      <c r="Y44" s="211">
        <f>0</f>
        <v>0</v>
      </c>
      <c r="Z44" s="211">
        <f>Y44+X44</f>
        <v>669.15</v>
      </c>
      <c r="AA44" s="211">
        <f>Configurations!$E$46/2</f>
        <v>1040.9000000000001</v>
      </c>
      <c r="AB44" s="212">
        <v>0</v>
      </c>
      <c r="AC44" s="211">
        <f>AA44-AB44</f>
        <v>1040.9000000000001</v>
      </c>
      <c r="AD44" s="212">
        <f>IF(T44&lt;0, 0,T44-AB44-Y44-V44)</f>
        <v>0</v>
      </c>
      <c r="AE44" s="211">
        <f>AD44*Constants!$D$23</f>
        <v>0</v>
      </c>
      <c r="AF44" s="211">
        <f>T44-AE44</f>
        <v>-10420</v>
      </c>
      <c r="AG44" s="214">
        <f>AF44*(1+Constants!$D$20)^-H44</f>
        <v>-10420</v>
      </c>
    </row>
    <row r="45" spans="8:36">
      <c r="H45" s="132">
        <v>1</v>
      </c>
      <c r="I45" s="139">
        <f>I44*(1-Constants!$D$11)</f>
        <v>0.995</v>
      </c>
      <c r="J45" s="134">
        <f>$E$18*(2-I45)</f>
        <v>2498.0417736620489</v>
      </c>
      <c r="K45" s="134">
        <f>$F$18*I45</f>
        <v>3224.293411383916</v>
      </c>
      <c r="L45" s="135">
        <f>IF(J45*'Grid Power'!K55&lt;0,0,J45*'Grid Power'!K18)</f>
        <v>304.2630967709398</v>
      </c>
      <c r="M45" s="136">
        <v>0</v>
      </c>
      <c r="N45" s="136">
        <f>N44*(1+Constants!$D$20)</f>
        <v>51</v>
      </c>
      <c r="O45" s="136">
        <v>0</v>
      </c>
      <c r="P45" s="136">
        <v>0</v>
      </c>
      <c r="Q45" s="136">
        <f>K45*'Grid Power'!$L$18</f>
        <v>338.74295028828237</v>
      </c>
      <c r="R45" s="136">
        <v>0</v>
      </c>
      <c r="S45" s="135">
        <f t="shared" ref="S45:S64" si="24">SUM(P45:R45)-SUM(L45:O45)</f>
        <v>-16.520146482657424</v>
      </c>
      <c r="T45" s="135">
        <f>S45+'Analysis (Nothing)'!D6</f>
        <v>994.43007074310265</v>
      </c>
      <c r="U45" s="135">
        <f>Configurations!$C$46/2</f>
        <v>4089.25</v>
      </c>
      <c r="V45" s="135">
        <f>W44*Configurations!$C$47</f>
        <v>1226.7749999999999</v>
      </c>
      <c r="W45" s="135">
        <f>W44+U45-V45</f>
        <v>6951.7250000000004</v>
      </c>
      <c r="X45" s="135">
        <f>Configurations!$D$46/2</f>
        <v>669.15</v>
      </c>
      <c r="Y45" s="135">
        <f>Z44*Configurations!$D$47</f>
        <v>66.915000000000006</v>
      </c>
      <c r="Z45" s="135">
        <f>Z44+X45-Y45</f>
        <v>1271.385</v>
      </c>
      <c r="AA45" s="135">
        <f>Configurations!$E$46/2</f>
        <v>1040.9000000000001</v>
      </c>
      <c r="AB45" s="135">
        <f>AC44*Configurations!$E$47</f>
        <v>208.18000000000004</v>
      </c>
      <c r="AC45" s="135">
        <f>AC44+AA45-AB45</f>
        <v>1873.6200000000001</v>
      </c>
      <c r="AD45" s="136">
        <f>IF(T45-AB45-Y45-V45&lt;0, 0,T45-AB45-Y45-V45)</f>
        <v>0</v>
      </c>
      <c r="AE45" s="135">
        <f>AD45*Constants!$D$23</f>
        <v>0</v>
      </c>
      <c r="AF45" s="135">
        <f>T45-AE45</f>
        <v>994.43007074310265</v>
      </c>
      <c r="AG45" s="150">
        <f>AF45*(1+Constants!$D$20)^-H45</f>
        <v>974.93144190500254</v>
      </c>
    </row>
    <row r="46" spans="8:36">
      <c r="H46" s="132">
        <v>2</v>
      </c>
      <c r="I46" s="139">
        <f>I45*(1-Constants!$D$11)</f>
        <v>0.99002500000000004</v>
      </c>
      <c r="J46" s="134">
        <f t="shared" ref="J46:J87" si="25">$E$18*(2-I46)</f>
        <v>2510.4077018451021</v>
      </c>
      <c r="K46" s="134">
        <f t="shared" ref="K46:K64" si="26">$F$18*I46</f>
        <v>3208.1719443269963</v>
      </c>
      <c r="L46" s="135">
        <f>IF(J46*'Grid Power'!K56&lt;0,0,J46*'Grid Power'!K19)</f>
        <v>319.64649907501081</v>
      </c>
      <c r="M46" s="136">
        <v>0</v>
      </c>
      <c r="N46" s="136">
        <f>N45*(1+Constants!$D$20)</f>
        <v>52.02</v>
      </c>
      <c r="O46" s="136">
        <v>0</v>
      </c>
      <c r="P46" s="136">
        <v>0</v>
      </c>
      <c r="Q46" s="136">
        <f>K46*'Grid Power'!$L$18</f>
        <v>337.04923553684091</v>
      </c>
      <c r="R46" s="136">
        <v>0</v>
      </c>
      <c r="S46" s="135">
        <f t="shared" si="24"/>
        <v>-34.61726353816988</v>
      </c>
      <c r="T46" s="135">
        <f>S46+'Analysis (Nothing)'!D7</f>
        <v>1022.2145515620589</v>
      </c>
      <c r="U46" s="135">
        <v>0</v>
      </c>
      <c r="V46" s="135">
        <f>W45*Configurations!$C$47</f>
        <v>2085.5174999999999</v>
      </c>
      <c r="W46" s="135">
        <f t="shared" ref="W46:W64" si="27">W45+U46-V46</f>
        <v>4866.2075000000004</v>
      </c>
      <c r="X46" s="135">
        <v>0</v>
      </c>
      <c r="Y46" s="135">
        <f>Z45*Configurations!$D$47</f>
        <v>127.13850000000001</v>
      </c>
      <c r="Z46" s="135">
        <f t="shared" ref="Z46:Z64" si="28">Z45+X46-Y46</f>
        <v>1144.2465</v>
      </c>
      <c r="AA46" s="136">
        <v>0</v>
      </c>
      <c r="AB46" s="135">
        <f>AC45*Configurations!$E$47</f>
        <v>374.72400000000005</v>
      </c>
      <c r="AC46" s="135">
        <f t="shared" ref="AC46:AC64" si="29">AC45+AA46-AB46</f>
        <v>1498.8960000000002</v>
      </c>
      <c r="AD46" s="136">
        <f t="shared" ref="AD46:AD64" si="30">IF(T46-AB46-Y46-V46&lt;0, 0,T46-AB46-Y46-V46)</f>
        <v>0</v>
      </c>
      <c r="AE46" s="135">
        <f>AD46*Constants!$D$23</f>
        <v>0</v>
      </c>
      <c r="AF46" s="135">
        <f>T46-AE46</f>
        <v>1022.2145515620589</v>
      </c>
      <c r="AG46" s="150">
        <f>AF46*(1+Constants!$D$20)^-H46</f>
        <v>982.52071468863801</v>
      </c>
    </row>
    <row r="47" spans="8:36">
      <c r="H47" s="132">
        <v>3</v>
      </c>
      <c r="I47" s="139">
        <f>I46*(1-Constants!$D$11)</f>
        <v>0.98507487500000002</v>
      </c>
      <c r="J47" s="134">
        <f t="shared" si="25"/>
        <v>2522.7118003872406</v>
      </c>
      <c r="K47" s="134">
        <f t="shared" si="26"/>
        <v>3192.1310846053611</v>
      </c>
      <c r="L47" s="135">
        <f>IF(J47*'Grid Power'!K57&lt;0,0,J47*'Grid Power'!K20)</f>
        <v>335.83164946776094</v>
      </c>
      <c r="M47" s="136">
        <v>0</v>
      </c>
      <c r="N47" s="136">
        <f>N46*(1+Constants!$D$20)</f>
        <v>53.060400000000001</v>
      </c>
      <c r="O47" s="136">
        <v>0</v>
      </c>
      <c r="P47" s="136">
        <v>0</v>
      </c>
      <c r="Q47" s="136">
        <f>K47*'Grid Power'!$L$18</f>
        <v>335.36398935915668</v>
      </c>
      <c r="R47" s="136">
        <v>0</v>
      </c>
      <c r="S47" s="135">
        <f t="shared" si="24"/>
        <v>-53.528060108604279</v>
      </c>
      <c r="T47" s="135">
        <f>S47+'Analysis (Nothing)'!D8</f>
        <v>1051.4004233672019</v>
      </c>
      <c r="U47" s="135">
        <v>0</v>
      </c>
      <c r="V47" s="135">
        <f>W46*Configurations!$C$47</f>
        <v>1459.8622500000001</v>
      </c>
      <c r="W47" s="135">
        <f t="shared" si="27"/>
        <v>3406.3452500000003</v>
      </c>
      <c r="X47" s="135">
        <v>0</v>
      </c>
      <c r="Y47" s="135">
        <f>Z46*Configurations!$D$47</f>
        <v>114.42465</v>
      </c>
      <c r="Z47" s="135">
        <f t="shared" si="28"/>
        <v>1029.82185</v>
      </c>
      <c r="AA47" s="136">
        <v>0</v>
      </c>
      <c r="AB47" s="135">
        <f>AC46*Configurations!$E$47</f>
        <v>299.77920000000006</v>
      </c>
      <c r="AC47" s="135">
        <f t="shared" si="29"/>
        <v>1199.1168000000002</v>
      </c>
      <c r="AD47" s="136">
        <f t="shared" si="30"/>
        <v>0</v>
      </c>
      <c r="AE47" s="135">
        <f>AD47*Constants!$D$23</f>
        <v>0</v>
      </c>
      <c r="AF47" s="135">
        <f>T47-AE47</f>
        <v>1051.4004233672019</v>
      </c>
      <c r="AG47" s="150">
        <f>AF47*(1+Constants!$D$20)^-H47</f>
        <v>990.75810149113283</v>
      </c>
    </row>
    <row r="48" spans="8:36">
      <c r="H48" s="132">
        <v>4</v>
      </c>
      <c r="I48" s="139">
        <f>I47*(1-Constants!$D$11)</f>
        <v>0.98014950062500006</v>
      </c>
      <c r="J48" s="134">
        <f t="shared" si="25"/>
        <v>2534.9543784366679</v>
      </c>
      <c r="K48" s="134">
        <f t="shared" si="26"/>
        <v>3176.1704291823348</v>
      </c>
      <c r="L48" s="135">
        <f>IF(J48*'Grid Power'!K58&lt;0,0,J48*'Grid Power'!K21)</f>
        <v>352.86103018652238</v>
      </c>
      <c r="M48" s="136">
        <v>0</v>
      </c>
      <c r="N48" s="136">
        <f>N47*(1+Constants!$D$20)</f>
        <v>54.121608000000002</v>
      </c>
      <c r="O48" s="136">
        <v>0</v>
      </c>
      <c r="P48" s="136">
        <v>0</v>
      </c>
      <c r="Q48" s="136">
        <f>K48*'Grid Power'!$L$18</f>
        <v>333.68716941236096</v>
      </c>
      <c r="R48" s="136">
        <v>0</v>
      </c>
      <c r="S48" s="135">
        <f t="shared" si="24"/>
        <v>-73.295468774161407</v>
      </c>
      <c r="T48" s="135">
        <f>S48+'Analysis (Nothing)'!D9</f>
        <v>1082.0549745720971</v>
      </c>
      <c r="U48" s="135">
        <v>0</v>
      </c>
      <c r="V48" s="135">
        <f>W47*Configurations!$C$47</f>
        <v>1021.903575</v>
      </c>
      <c r="W48" s="135">
        <f t="shared" si="27"/>
        <v>2384.441675</v>
      </c>
      <c r="X48" s="135">
        <v>0</v>
      </c>
      <c r="Y48" s="135">
        <f>Z47*Configurations!$D$47</f>
        <v>102.98218500000002</v>
      </c>
      <c r="Z48" s="135">
        <f t="shared" si="28"/>
        <v>926.83966499999997</v>
      </c>
      <c r="AA48" s="136">
        <v>0</v>
      </c>
      <c r="AB48" s="135">
        <f>AC47*Configurations!$E$47</f>
        <v>239.82336000000006</v>
      </c>
      <c r="AC48" s="135">
        <f t="shared" si="29"/>
        <v>959.29344000000015</v>
      </c>
      <c r="AD48" s="136">
        <f t="shared" si="30"/>
        <v>0</v>
      </c>
      <c r="AE48" s="135">
        <f>AD48*Constants!$D$23</f>
        <v>0</v>
      </c>
      <c r="AF48" s="135">
        <f>T48-AE48</f>
        <v>1082.0549745720971</v>
      </c>
      <c r="AG48" s="150">
        <f>AF48*(1+Constants!$D$20)^-H48</f>
        <v>999.65153896766799</v>
      </c>
    </row>
    <row r="49" spans="8:33">
      <c r="H49" s="132">
        <v>5</v>
      </c>
      <c r="I49" s="139">
        <f>I48*(1-Constants!$D$11)</f>
        <v>0.97524875312187509</v>
      </c>
      <c r="J49" s="134">
        <f t="shared" si="25"/>
        <v>2547.135743595848</v>
      </c>
      <c r="K49" s="134">
        <f t="shared" si="26"/>
        <v>3160.289577036423</v>
      </c>
      <c r="L49" s="135">
        <f>IF(J49*'Grid Power'!K59&lt;0,0,J49*'Grid Power'!K22)</f>
        <v>370.77938563677935</v>
      </c>
      <c r="M49" s="136">
        <v>0</v>
      </c>
      <c r="N49" s="136">
        <f>N48*(1+Constants!$D$20)</f>
        <v>55.204040160000005</v>
      </c>
      <c r="O49" s="136">
        <v>0</v>
      </c>
      <c r="P49" s="136">
        <v>0</v>
      </c>
      <c r="Q49" s="136">
        <f>K49*'Grid Power'!$L$18</f>
        <v>332.01873356529916</v>
      </c>
      <c r="R49" s="136">
        <v>0</v>
      </c>
      <c r="S49" s="135">
        <f t="shared" si="24"/>
        <v>-93.964692231480171</v>
      </c>
      <c r="T49" s="135">
        <f>S49+'Analysis (Nothing)'!D10</f>
        <v>1114.2487842973137</v>
      </c>
      <c r="U49" s="135">
        <v>0</v>
      </c>
      <c r="V49" s="135">
        <f>W48*Configurations!$C$47</f>
        <v>715.33250250000003</v>
      </c>
      <c r="W49" s="135">
        <f t="shared" si="27"/>
        <v>1669.1091725000001</v>
      </c>
      <c r="X49" s="135">
        <v>0</v>
      </c>
      <c r="Y49" s="135">
        <f>Z48*Configurations!$D$47</f>
        <v>92.683966499999997</v>
      </c>
      <c r="Z49" s="135">
        <f t="shared" si="28"/>
        <v>834.15569849999997</v>
      </c>
      <c r="AA49" s="136">
        <v>0</v>
      </c>
      <c r="AB49" s="135">
        <f>AC48*Configurations!$E$47</f>
        <v>191.85868800000003</v>
      </c>
      <c r="AC49" s="135">
        <f t="shared" si="29"/>
        <v>767.43475200000012</v>
      </c>
      <c r="AD49" s="136">
        <f t="shared" si="30"/>
        <v>114.37362729731365</v>
      </c>
      <c r="AE49" s="135">
        <f>AD49*Constants!$D$23</f>
        <v>11.437362729731365</v>
      </c>
      <c r="AF49" s="135">
        <f>T49-AE49</f>
        <v>1102.8114215675823</v>
      </c>
      <c r="AG49" s="150">
        <f>AF49*(1+Constants!$D$20)^-H49</f>
        <v>998.85028194608719</v>
      </c>
    </row>
    <row r="50" spans="8:33">
      <c r="H50" s="132">
        <v>6</v>
      </c>
      <c r="I50" s="139">
        <f>I49*(1-Constants!$D$11)</f>
        <v>0.97037250935626573</v>
      </c>
      <c r="J50" s="134">
        <f t="shared" si="25"/>
        <v>2559.2562019292322</v>
      </c>
      <c r="K50" s="134">
        <f t="shared" si="26"/>
        <v>3144.4881291512411</v>
      </c>
      <c r="L50" s="135">
        <f>IF(J50*'Grid Power'!K60&lt;0,0,J50*'Grid Power'!K23)</f>
        <v>389.63384271783184</v>
      </c>
      <c r="M50" s="136">
        <v>0</v>
      </c>
      <c r="N50" s="136">
        <f>N49*(1+Constants!$D$20)</f>
        <v>56.308120963200004</v>
      </c>
      <c r="O50" s="136">
        <v>0</v>
      </c>
      <c r="P50" s="136">
        <v>0</v>
      </c>
      <c r="Q50" s="136">
        <f>K50*'Grid Power'!$L$18</f>
        <v>330.3586398974727</v>
      </c>
      <c r="R50" s="136">
        <v>0</v>
      </c>
      <c r="S50" s="135">
        <f t="shared" si="24"/>
        <v>-115.58332378355914</v>
      </c>
      <c r="T50" s="135">
        <f>S50+'Analysis (Nothing)'!D11</f>
        <v>1148.0558841526608</v>
      </c>
      <c r="U50" s="135">
        <v>0</v>
      </c>
      <c r="V50" s="135">
        <f>W49*Configurations!$C$47</f>
        <v>500.73275175000003</v>
      </c>
      <c r="W50" s="135">
        <f t="shared" si="27"/>
        <v>1168.3764207500001</v>
      </c>
      <c r="X50" s="135">
        <v>0</v>
      </c>
      <c r="Y50" s="135">
        <f>Z49*Configurations!$D$47</f>
        <v>83.415569849999997</v>
      </c>
      <c r="Z50" s="135">
        <f t="shared" si="28"/>
        <v>750.74012864999997</v>
      </c>
      <c r="AA50" s="136">
        <v>0</v>
      </c>
      <c r="AB50" s="135">
        <f>AC49*Configurations!$E$47</f>
        <v>153.48695040000004</v>
      </c>
      <c r="AC50" s="135">
        <f t="shared" si="29"/>
        <v>613.94780160000005</v>
      </c>
      <c r="AD50" s="136">
        <f t="shared" si="30"/>
        <v>410.42061215266074</v>
      </c>
      <c r="AE50" s="135">
        <f>AD50*Constants!$D$23</f>
        <v>41.042061215266074</v>
      </c>
      <c r="AF50" s="135">
        <f t="shared" ref="AF50:AF62" si="31">T50-AE50</f>
        <v>1107.0138229373947</v>
      </c>
      <c r="AG50" s="150">
        <f>AF50*(1+Constants!$D$20)^-H50</f>
        <v>982.99659445293878</v>
      </c>
    </row>
    <row r="51" spans="8:33">
      <c r="H51" s="132">
        <v>7</v>
      </c>
      <c r="I51" s="139">
        <f>I50*(1-Constants!$D$11)</f>
        <v>0.96552064680948435</v>
      </c>
      <c r="J51" s="134">
        <f t="shared" si="25"/>
        <v>2571.3160579709502</v>
      </c>
      <c r="K51" s="134">
        <f t="shared" si="26"/>
        <v>3128.7656885054848</v>
      </c>
      <c r="L51" s="135">
        <f>IF(J51*'Grid Power'!K61&lt;0,0,J51*'Grid Power'!K24)</f>
        <v>409.47403752598058</v>
      </c>
      <c r="M51" s="136">
        <v>0</v>
      </c>
      <c r="N51" s="136">
        <f>N50*(1+Constants!$D$20)</f>
        <v>57.434283382464002</v>
      </c>
      <c r="O51" s="136">
        <v>0</v>
      </c>
      <c r="P51" s="136">
        <v>0</v>
      </c>
      <c r="Q51" s="136">
        <f>K51*'Grid Power'!$L$18</f>
        <v>328.70684669798533</v>
      </c>
      <c r="R51" s="136">
        <v>0</v>
      </c>
      <c r="S51" s="135">
        <f t="shared" si="24"/>
        <v>-138.20147421045925</v>
      </c>
      <c r="T51" s="135">
        <f>S51+'Analysis (Nothing)'!D12</f>
        <v>1183.5539280052635</v>
      </c>
      <c r="U51" s="135">
        <v>0</v>
      </c>
      <c r="V51" s="135">
        <f>W50*Configurations!$C$47</f>
        <v>350.512926225</v>
      </c>
      <c r="W51" s="135">
        <f t="shared" si="27"/>
        <v>817.86349452500008</v>
      </c>
      <c r="X51" s="135">
        <v>0</v>
      </c>
      <c r="Y51" s="135">
        <f>Z50*Configurations!$D$47</f>
        <v>75.074012865</v>
      </c>
      <c r="Z51" s="135">
        <f t="shared" si="28"/>
        <v>675.66611578499999</v>
      </c>
      <c r="AA51" s="136">
        <v>0</v>
      </c>
      <c r="AB51" s="135">
        <f>AC50*Configurations!$E$47</f>
        <v>122.78956032000002</v>
      </c>
      <c r="AC51" s="135">
        <f t="shared" si="29"/>
        <v>491.15824128000003</v>
      </c>
      <c r="AD51" s="136">
        <f t="shared" si="30"/>
        <v>635.17742859526356</v>
      </c>
      <c r="AE51" s="135">
        <f>AD51*Constants!$D$23</f>
        <v>63.517742859526358</v>
      </c>
      <c r="AF51" s="135">
        <f t="shared" si="31"/>
        <v>1120.0361851457371</v>
      </c>
      <c r="AG51" s="150">
        <f>AF51*(1+Constants!$D$20)^-H51</f>
        <v>975.05890139451969</v>
      </c>
    </row>
    <row r="52" spans="8:33">
      <c r="H52" s="132">
        <v>8</v>
      </c>
      <c r="I52" s="139">
        <f>I51*(1-Constants!$D$11)</f>
        <v>0.96069304357543694</v>
      </c>
      <c r="J52" s="134">
        <f t="shared" si="25"/>
        <v>2583.3156147324589</v>
      </c>
      <c r="K52" s="134">
        <f t="shared" si="26"/>
        <v>3113.1218600629572</v>
      </c>
      <c r="L52" s="135">
        <f>IF(J52*'Grid Power'!K62&lt;0,0,J52*'Grid Power'!K25)</f>
        <v>430.35224877184157</v>
      </c>
      <c r="M52" s="136">
        <v>0</v>
      </c>
      <c r="N52" s="136">
        <f>N51*(1+Constants!$D$20)</f>
        <v>58.582969050113284</v>
      </c>
      <c r="O52" s="136">
        <v>0</v>
      </c>
      <c r="P52" s="136">
        <v>0</v>
      </c>
      <c r="Q52" s="136">
        <f>K52*'Grid Power'!$L$18</f>
        <v>327.06331246449537</v>
      </c>
      <c r="R52" s="136">
        <v>0</v>
      </c>
      <c r="S52" s="135">
        <f t="shared" si="24"/>
        <v>-161.87190535745947</v>
      </c>
      <c r="T52" s="135">
        <f>S52+'Analysis (Nothing)'!D13</f>
        <v>1220.8243701288652</v>
      </c>
      <c r="U52" s="135">
        <v>0</v>
      </c>
      <c r="V52" s="135">
        <f>W51*Configurations!$C$47</f>
        <v>245.3590483575</v>
      </c>
      <c r="W52" s="135">
        <f t="shared" si="27"/>
        <v>572.50444616750008</v>
      </c>
      <c r="X52" s="135">
        <v>0</v>
      </c>
      <c r="Y52" s="135">
        <f>Z51*Configurations!$D$47</f>
        <v>67.566611578500002</v>
      </c>
      <c r="Z52" s="135">
        <f t="shared" si="28"/>
        <v>608.0995042065</v>
      </c>
      <c r="AA52" s="136">
        <v>0</v>
      </c>
      <c r="AB52" s="135">
        <f>AC51*Configurations!$E$47</f>
        <v>98.231648256000014</v>
      </c>
      <c r="AC52" s="135">
        <f t="shared" si="29"/>
        <v>392.926593024</v>
      </c>
      <c r="AD52" s="136">
        <f t="shared" si="30"/>
        <v>809.66706193686525</v>
      </c>
      <c r="AE52" s="135">
        <f>AD52*Constants!$D$23</f>
        <v>80.966706193686534</v>
      </c>
      <c r="AF52" s="135">
        <f t="shared" si="31"/>
        <v>1139.8576639351786</v>
      </c>
      <c r="AG52" s="150">
        <f>AF52*(1+Constants!$D$20)^-H52</f>
        <v>972.85754069592906</v>
      </c>
    </row>
    <row r="53" spans="8:33">
      <c r="H53" s="132">
        <v>9</v>
      </c>
      <c r="I53" s="139">
        <f>I52*(1-Constants!$D$11)</f>
        <v>0.95588957835755972</v>
      </c>
      <c r="J53" s="134">
        <f t="shared" si="25"/>
        <v>2595.2551737101608</v>
      </c>
      <c r="K53" s="134">
        <f t="shared" si="26"/>
        <v>3097.5562507626423</v>
      </c>
      <c r="L53" s="135">
        <f>IF(J53*'Grid Power'!K63&lt;0,0,J53*'Grid Power'!K26)</f>
        <v>452.32353826610046</v>
      </c>
      <c r="M53" s="136">
        <v>0</v>
      </c>
      <c r="N53" s="136">
        <f>N52*(1+Constants!$D$20)</f>
        <v>59.754628431115549</v>
      </c>
      <c r="O53" s="136">
        <v>0</v>
      </c>
      <c r="P53" s="136">
        <v>0</v>
      </c>
      <c r="Q53" s="136">
        <f>K53*'Grid Power'!$L$18</f>
        <v>325.42799590217288</v>
      </c>
      <c r="R53" s="136">
        <v>0</v>
      </c>
      <c r="S53" s="135">
        <f t="shared" si="24"/>
        <v>-186.65017079504315</v>
      </c>
      <c r="T53" s="135">
        <f>S53+'Analysis (Nothing)'!D14</f>
        <v>1259.9526521493519</v>
      </c>
      <c r="U53" s="135">
        <v>0</v>
      </c>
      <c r="V53" s="135">
        <f>W52*Configurations!$C$47</f>
        <v>171.75133385025001</v>
      </c>
      <c r="W53" s="135">
        <f t="shared" si="27"/>
        <v>400.75311231725004</v>
      </c>
      <c r="X53" s="135">
        <v>0</v>
      </c>
      <c r="Y53" s="135">
        <f>Z52*Configurations!$D$47</f>
        <v>60.809950420650004</v>
      </c>
      <c r="Z53" s="135">
        <f t="shared" si="28"/>
        <v>547.28955378584999</v>
      </c>
      <c r="AA53" s="136">
        <v>0</v>
      </c>
      <c r="AB53" s="135">
        <f>AC52*Configurations!$E$47</f>
        <v>78.585318604800008</v>
      </c>
      <c r="AC53" s="135">
        <f t="shared" si="29"/>
        <v>314.34127441919998</v>
      </c>
      <c r="AD53" s="136">
        <f t="shared" si="30"/>
        <v>948.80604927365187</v>
      </c>
      <c r="AE53" s="135">
        <f>AD53*Constants!$D$23</f>
        <v>94.880604927365198</v>
      </c>
      <c r="AF53" s="135">
        <f t="shared" si="31"/>
        <v>1165.0720472219868</v>
      </c>
      <c r="AG53" s="150">
        <f>AF53*(1+Constants!$D$20)^-H53</f>
        <v>974.88017063403606</v>
      </c>
    </row>
    <row r="54" spans="8:33">
      <c r="H54" s="132">
        <v>10</v>
      </c>
      <c r="I54" s="139">
        <f>I53*(1-Constants!$D$11)</f>
        <v>0.95111013046577186</v>
      </c>
      <c r="J54" s="134">
        <f t="shared" si="25"/>
        <v>2607.1350348929736</v>
      </c>
      <c r="K54" s="134">
        <f t="shared" si="26"/>
        <v>3082.0684695088289</v>
      </c>
      <c r="L54" s="135">
        <f>IF(J54*'Grid Power'!K64&lt;0,0,J54*'Grid Power'!K27)</f>
        <v>475.44589884662719</v>
      </c>
      <c r="M54" s="136">
        <v>0</v>
      </c>
      <c r="N54" s="136">
        <f>N53*(1+Constants!$D$20)</f>
        <v>60.949720999737863</v>
      </c>
      <c r="O54" s="136">
        <f>Configurations!$D$38+Configurations!$D$40</f>
        <v>5055.8</v>
      </c>
      <c r="P54" s="136">
        <v>0</v>
      </c>
      <c r="Q54" s="136">
        <f>K54*'Grid Power'!$L$18</f>
        <v>323.80085592266198</v>
      </c>
      <c r="R54" s="136">
        <v>0</v>
      </c>
      <c r="S54" s="135">
        <f t="shared" si="24"/>
        <v>-5268.3947639237031</v>
      </c>
      <c r="T54" s="135">
        <f>S54+'Analysis (Nothing)'!D15</f>
        <v>-3754.7716007778945</v>
      </c>
      <c r="U54" s="135">
        <f>Configurations!$D$38/2</f>
        <v>1487</v>
      </c>
      <c r="V54" s="135">
        <f>W53*Configurations!$C$47</f>
        <v>120.225933695175</v>
      </c>
      <c r="W54" s="135">
        <f t="shared" si="27"/>
        <v>1767.5271786220751</v>
      </c>
      <c r="X54" s="135">
        <v>0</v>
      </c>
      <c r="Y54" s="135">
        <f>Z53*Configurations!$D$47</f>
        <v>54.728955378584999</v>
      </c>
      <c r="Z54" s="135">
        <f t="shared" si="28"/>
        <v>492.56059840726499</v>
      </c>
      <c r="AA54" s="136">
        <f>Configurations!$D$40/2</f>
        <v>1040.9000000000001</v>
      </c>
      <c r="AB54" s="135">
        <f>AC53*Configurations!$E$47</f>
        <v>62.868254883839995</v>
      </c>
      <c r="AC54" s="135">
        <f t="shared" si="29"/>
        <v>1292.3730195353601</v>
      </c>
      <c r="AD54" s="136">
        <f t="shared" si="30"/>
        <v>0</v>
      </c>
      <c r="AE54" s="135">
        <f>AD54*Constants!$D$23</f>
        <v>0</v>
      </c>
      <c r="AF54" s="135">
        <f t="shared" si="31"/>
        <v>-3754.7716007778945</v>
      </c>
      <c r="AG54" s="150">
        <f>AF54*(1+Constants!$D$20)^-H54</f>
        <v>-3080.2204991176613</v>
      </c>
    </row>
    <row r="55" spans="8:33">
      <c r="H55" s="132">
        <v>11</v>
      </c>
      <c r="I55" s="139">
        <f>I54*(1-Constants!$D$11)</f>
        <v>0.94635457981344295</v>
      </c>
      <c r="J55" s="134">
        <f t="shared" si="25"/>
        <v>2618.9554967698723</v>
      </c>
      <c r="K55" s="134">
        <f t="shared" si="26"/>
        <v>3066.6581271612845</v>
      </c>
      <c r="L55" s="135">
        <f>IF(J55*'Grid Power'!K65&lt;0,0,J55*'Grid Power'!K28)</f>
        <v>499.78041013948183</v>
      </c>
      <c r="M55" s="136">
        <v>0</v>
      </c>
      <c r="N55" s="136">
        <f>N54*(1+Constants!$D$20)</f>
        <v>62.168715419732621</v>
      </c>
      <c r="O55" s="136">
        <v>0</v>
      </c>
      <c r="P55" s="136">
        <v>0</v>
      </c>
      <c r="Q55" s="136">
        <f>K55*'Grid Power'!$L$18</f>
        <v>322.18185164304867</v>
      </c>
      <c r="R55" s="136">
        <v>0</v>
      </c>
      <c r="S55" s="135">
        <f t="shared" si="24"/>
        <v>-239.76727391616583</v>
      </c>
      <c r="T55" s="135">
        <f>S55+'Analysis (Nothing)'!D16</f>
        <v>1344.1456258984153</v>
      </c>
      <c r="U55" s="135">
        <f>Configurations!$D$38/2</f>
        <v>1487</v>
      </c>
      <c r="V55" s="135">
        <f>W54*Configurations!$C$47</f>
        <v>530.25815358662248</v>
      </c>
      <c r="W55" s="135">
        <f t="shared" si="27"/>
        <v>2724.2690250354526</v>
      </c>
      <c r="X55" s="135">
        <v>0</v>
      </c>
      <c r="Y55" s="135">
        <f>Z54*Configurations!$D$47</f>
        <v>49.2560598407265</v>
      </c>
      <c r="Z55" s="135">
        <f t="shared" si="28"/>
        <v>443.3045385665385</v>
      </c>
      <c r="AA55" s="136">
        <f>Configurations!$D$40/2</f>
        <v>1040.9000000000001</v>
      </c>
      <c r="AB55" s="135">
        <f>AC54*Configurations!$E$47</f>
        <v>258.47460390707204</v>
      </c>
      <c r="AC55" s="135">
        <f t="shared" si="29"/>
        <v>2074.7984156282882</v>
      </c>
      <c r="AD55" s="136">
        <f t="shared" si="30"/>
        <v>506.15680856399445</v>
      </c>
      <c r="AE55" s="135">
        <f>AD55*Constants!$D$23</f>
        <v>50.61568085639945</v>
      </c>
      <c r="AF55" s="135">
        <f t="shared" si="31"/>
        <v>1293.5299450420159</v>
      </c>
      <c r="AG55" s="150">
        <f>AF55*(1+Constants!$D$20)^-H55</f>
        <v>1040.3383247576676</v>
      </c>
    </row>
    <row r="56" spans="8:33">
      <c r="H56" s="132">
        <v>12</v>
      </c>
      <c r="I56" s="139">
        <f>I55*(1-Constants!$D$11)</f>
        <v>0.94162280691437572</v>
      </c>
      <c r="J56" s="134">
        <f t="shared" si="25"/>
        <v>2630.7168563373866</v>
      </c>
      <c r="K56" s="134">
        <f t="shared" si="26"/>
        <v>3051.3248365254781</v>
      </c>
      <c r="L56" s="135">
        <f>IF(J56*'Grid Power'!K66&lt;0,0,J56*'Grid Power'!K29)</f>
        <v>525.391402566951</v>
      </c>
      <c r="M56" s="136">
        <v>0</v>
      </c>
      <c r="N56" s="136">
        <f>N55*(1+Constants!$D$20)</f>
        <v>63.412089728127278</v>
      </c>
      <c r="O56" s="136">
        <v>0</v>
      </c>
      <c r="P56" s="136">
        <v>0</v>
      </c>
      <c r="Q56" s="136">
        <f>K56*'Grid Power'!$L$18</f>
        <v>320.57094238483342</v>
      </c>
      <c r="R56" s="136">
        <v>0</v>
      </c>
      <c r="S56" s="135">
        <f t="shared" si="24"/>
        <v>-268.23254991024487</v>
      </c>
      <c r="T56" s="135">
        <f>S56+'Analysis (Nothing)'!D17</f>
        <v>1389.4029521608804</v>
      </c>
      <c r="U56" s="135">
        <v>0</v>
      </c>
      <c r="V56" s="135">
        <f>W55*Configurations!$C$47</f>
        <v>817.28070751063581</v>
      </c>
      <c r="W56" s="135">
        <f t="shared" si="27"/>
        <v>1906.9883175248169</v>
      </c>
      <c r="X56" s="135">
        <v>0</v>
      </c>
      <c r="Y56" s="135">
        <f>Z55*Configurations!$D$47</f>
        <v>44.330453856653854</v>
      </c>
      <c r="Z56" s="135">
        <f t="shared" si="28"/>
        <v>398.97408470988466</v>
      </c>
      <c r="AA56" s="136">
        <v>0</v>
      </c>
      <c r="AB56" s="135">
        <f>AC55*Configurations!$E$47</f>
        <v>414.95968312565765</v>
      </c>
      <c r="AC56" s="135">
        <f t="shared" si="29"/>
        <v>1659.8387325026306</v>
      </c>
      <c r="AD56" s="136">
        <f t="shared" si="30"/>
        <v>112.83210766793309</v>
      </c>
      <c r="AE56" s="135">
        <f>AD56*Constants!$D$23</f>
        <v>11.28321076679331</v>
      </c>
      <c r="AF56" s="135">
        <f t="shared" si="31"/>
        <v>1378.1197413940872</v>
      </c>
      <c r="AG56" s="150">
        <f>AF56*(1+Constants!$D$20)^-H56</f>
        <v>1086.638011223595</v>
      </c>
    </row>
    <row r="57" spans="8:33">
      <c r="H57" s="132">
        <v>13</v>
      </c>
      <c r="I57" s="139">
        <f>I56*(1-Constants!$D$11)</f>
        <v>0.93691469287980389</v>
      </c>
      <c r="J57" s="134">
        <f t="shared" si="25"/>
        <v>2642.4194091070631</v>
      </c>
      <c r="K57" s="134">
        <f t="shared" si="26"/>
        <v>3036.068212342851</v>
      </c>
      <c r="L57" s="135">
        <f>IF(J57*'Grid Power'!K67&lt;0,0,J57*'Grid Power'!K30)</f>
        <v>552.34663003746516</v>
      </c>
      <c r="M57" s="136">
        <v>0</v>
      </c>
      <c r="N57" s="136">
        <f>N56*(1+Constants!$D$20)</f>
        <v>64.680331522689826</v>
      </c>
      <c r="O57" s="136">
        <v>0</v>
      </c>
      <c r="P57" s="136">
        <v>0</v>
      </c>
      <c r="Q57" s="136">
        <f>K57*'Grid Power'!$L$18</f>
        <v>318.96808767290929</v>
      </c>
      <c r="R57" s="136">
        <v>0</v>
      </c>
      <c r="S57" s="135">
        <f t="shared" si="24"/>
        <v>-298.05887388724568</v>
      </c>
      <c r="T57" s="135">
        <f>S57+'Analysis (Nothing)'!D18</f>
        <v>1436.9038301315593</v>
      </c>
      <c r="U57" s="135">
        <v>0</v>
      </c>
      <c r="V57" s="135">
        <f>W56*Configurations!$C$47</f>
        <v>572.0964952574451</v>
      </c>
      <c r="W57" s="135">
        <f t="shared" si="27"/>
        <v>1334.8918222673719</v>
      </c>
      <c r="X57" s="135">
        <v>0</v>
      </c>
      <c r="Y57" s="135">
        <f>Z56*Configurations!$D$47</f>
        <v>39.897408470988466</v>
      </c>
      <c r="Z57" s="135">
        <f t="shared" si="28"/>
        <v>359.0766762388962</v>
      </c>
      <c r="AA57" s="136">
        <v>0</v>
      </c>
      <c r="AB57" s="135">
        <f>AC56*Configurations!$E$47</f>
        <v>331.96774650052612</v>
      </c>
      <c r="AC57" s="135">
        <f t="shared" si="29"/>
        <v>1327.8709860021045</v>
      </c>
      <c r="AD57" s="136">
        <f t="shared" si="30"/>
        <v>492.94217990259961</v>
      </c>
      <c r="AE57" s="135">
        <f>AD57*Constants!$D$23</f>
        <v>49.294217990259966</v>
      </c>
      <c r="AF57" s="135">
        <f t="shared" si="31"/>
        <v>1387.6096121412993</v>
      </c>
      <c r="AG57" s="150">
        <f>AF57*(1+Constants!$D$20)^-H57</f>
        <v>1072.6673622989449</v>
      </c>
    </row>
    <row r="58" spans="8:33">
      <c r="H58" s="132">
        <v>14</v>
      </c>
      <c r="I58" s="139">
        <f>I57*(1-Constants!$D$11)</f>
        <v>0.9322301194154049</v>
      </c>
      <c r="J58" s="134">
        <f t="shared" si="25"/>
        <v>2654.0634491128922</v>
      </c>
      <c r="K58" s="134">
        <f t="shared" si="26"/>
        <v>3020.8878712811365</v>
      </c>
      <c r="L58" s="135">
        <f>IF(J58*'Grid Power'!K68&lt;0,0,J58*'Grid Power'!K31)</f>
        <v>580.71745177508433</v>
      </c>
      <c r="M58" s="136">
        <v>0</v>
      </c>
      <c r="N58" s="136">
        <f>N57*(1+Constants!$D$20)</f>
        <v>65.973938153143621</v>
      </c>
      <c r="O58" s="136">
        <v>0</v>
      </c>
      <c r="P58" s="136">
        <v>0</v>
      </c>
      <c r="Q58" s="136">
        <f>K58*'Grid Power'!$L$18</f>
        <v>317.37324723454469</v>
      </c>
      <c r="R58" s="136">
        <v>0</v>
      </c>
      <c r="S58" s="135">
        <f t="shared" si="24"/>
        <v>-329.31814269368328</v>
      </c>
      <c r="T58" s="135">
        <f>S58+'Analysis (Nothing)'!D19</f>
        <v>1486.7567819816579</v>
      </c>
      <c r="U58" s="135">
        <v>0</v>
      </c>
      <c r="V58" s="135">
        <f>W57*Configurations!$C$47</f>
        <v>400.46754668021157</v>
      </c>
      <c r="W58" s="135">
        <f t="shared" si="27"/>
        <v>934.42427558716031</v>
      </c>
      <c r="X58" s="135">
        <v>0</v>
      </c>
      <c r="Y58" s="135">
        <f>Z57*Configurations!$D$47</f>
        <v>35.907667623889623</v>
      </c>
      <c r="Z58" s="135">
        <f t="shared" si="28"/>
        <v>323.16900861500659</v>
      </c>
      <c r="AA58" s="136">
        <v>0</v>
      </c>
      <c r="AB58" s="135">
        <f>AC57*Configurations!$E$47</f>
        <v>265.57419720042088</v>
      </c>
      <c r="AC58" s="135">
        <f t="shared" si="29"/>
        <v>1062.2967888016835</v>
      </c>
      <c r="AD58" s="136">
        <f t="shared" si="30"/>
        <v>784.80737047713569</v>
      </c>
      <c r="AE58" s="135">
        <f>AD58*Constants!$D$23</f>
        <v>78.480737047713575</v>
      </c>
      <c r="AF58" s="135">
        <f t="shared" si="31"/>
        <v>1408.2760449339444</v>
      </c>
      <c r="AG58" s="150">
        <f>AF58*(1+Constants!$D$20)^-H58</f>
        <v>1067.2972421814122</v>
      </c>
    </row>
    <row r="59" spans="8:33">
      <c r="H59" s="132">
        <v>15</v>
      </c>
      <c r="I59" s="139">
        <f>I58*(1-Constants!$D$11)</f>
        <v>0.92756896881832784</v>
      </c>
      <c r="J59" s="134">
        <f t="shared" si="25"/>
        <v>2665.6492689186912</v>
      </c>
      <c r="K59" s="134">
        <f t="shared" si="26"/>
        <v>3005.7834319247308</v>
      </c>
      <c r="L59" s="135">
        <f>IF(J59*'Grid Power'!K69&lt;0,0,J59*'Grid Power'!K32)</f>
        <v>610.57902377026585</v>
      </c>
      <c r="M59" s="136">
        <v>0</v>
      </c>
      <c r="N59" s="136">
        <f>N58*(1+Constants!$D$20)</f>
        <v>67.293416916206496</v>
      </c>
      <c r="O59" s="136">
        <v>0</v>
      </c>
      <c r="P59" s="136">
        <v>0</v>
      </c>
      <c r="Q59" s="136">
        <f>K59*'Grid Power'!$L$18</f>
        <v>315.78638099837195</v>
      </c>
      <c r="R59" s="136">
        <v>0</v>
      </c>
      <c r="S59" s="135">
        <f t="shared" si="24"/>
        <v>-362.08605968810042</v>
      </c>
      <c r="T59" s="135">
        <f>S59+'Analysis (Nothing)'!D20</f>
        <v>1539.0756495977955</v>
      </c>
      <c r="U59" s="135">
        <v>0</v>
      </c>
      <c r="V59" s="135">
        <f>W58*Configurations!$C$47</f>
        <v>280.32728267614806</v>
      </c>
      <c r="W59" s="135">
        <f t="shared" si="27"/>
        <v>654.09699291101219</v>
      </c>
      <c r="X59" s="135">
        <v>0</v>
      </c>
      <c r="Y59" s="135">
        <f>Z58*Configurations!$D$47</f>
        <v>32.316900861500663</v>
      </c>
      <c r="Z59" s="135">
        <f t="shared" si="28"/>
        <v>290.85210775350595</v>
      </c>
      <c r="AA59" s="136">
        <v>0</v>
      </c>
      <c r="AB59" s="135">
        <f>AC58*Configurations!$E$47</f>
        <v>212.45935776033673</v>
      </c>
      <c r="AC59" s="135">
        <f t="shared" si="29"/>
        <v>849.8374310413468</v>
      </c>
      <c r="AD59" s="136">
        <f t="shared" si="30"/>
        <v>1013.9721082998101</v>
      </c>
      <c r="AE59" s="135">
        <f>AD59*Constants!$D$23</f>
        <v>101.39721082998102</v>
      </c>
      <c r="AF59" s="135">
        <f t="shared" si="31"/>
        <v>1437.6784387678144</v>
      </c>
      <c r="AG59" s="150">
        <f>AF59*(1+Constants!$D$20)^-H59</f>
        <v>1068.2162569913835</v>
      </c>
    </row>
    <row r="60" spans="8:33">
      <c r="H60" s="132">
        <v>16</v>
      </c>
      <c r="I60" s="139">
        <f>I59*(1-Constants!$D$11)</f>
        <v>0.92293112397423616</v>
      </c>
      <c r="J60" s="134">
        <f t="shared" si="25"/>
        <v>2677.1771596254612</v>
      </c>
      <c r="K60" s="134">
        <f t="shared" si="26"/>
        <v>2990.7545147651072</v>
      </c>
      <c r="L60" s="135">
        <f>IF(J60*'Grid Power'!K70&lt;0,0,J60*'Grid Power'!K33)</f>
        <v>642.01050035892729</v>
      </c>
      <c r="M60" s="136">
        <v>0</v>
      </c>
      <c r="N60" s="136">
        <f>N59*(1+Constants!$D$20)</f>
        <v>68.639285254530634</v>
      </c>
      <c r="O60" s="136">
        <v>0</v>
      </c>
      <c r="P60" s="136">
        <v>0</v>
      </c>
      <c r="Q60" s="136">
        <f>K60*'Grid Power'!$L$18</f>
        <v>314.20744909338009</v>
      </c>
      <c r="R60" s="136">
        <v>0</v>
      </c>
      <c r="S60" s="135">
        <f t="shared" si="24"/>
        <v>-396.44233652007779</v>
      </c>
      <c r="T60" s="135">
        <f>S60+'Analysis (Nothing)'!D21</f>
        <v>1593.9798565874571</v>
      </c>
      <c r="U60" s="135">
        <v>0</v>
      </c>
      <c r="V60" s="135">
        <f>W59*Configurations!$C$47</f>
        <v>196.22909787330366</v>
      </c>
      <c r="W60" s="135">
        <f t="shared" si="27"/>
        <v>457.86789503770854</v>
      </c>
      <c r="X60" s="135">
        <v>0</v>
      </c>
      <c r="Y60" s="135">
        <f>Z59*Configurations!$D$47</f>
        <v>29.085210775350596</v>
      </c>
      <c r="Z60" s="135">
        <f t="shared" si="28"/>
        <v>261.76689697815533</v>
      </c>
      <c r="AA60" s="136">
        <v>0</v>
      </c>
      <c r="AB60" s="135">
        <f>AC59*Configurations!$E$47</f>
        <v>169.96748620826938</v>
      </c>
      <c r="AC60" s="135">
        <f t="shared" si="29"/>
        <v>679.8699448330774</v>
      </c>
      <c r="AD60" s="136">
        <f t="shared" si="30"/>
        <v>1198.6980617305335</v>
      </c>
      <c r="AE60" s="135">
        <f>AD60*Constants!$D$23</f>
        <v>119.86980617305335</v>
      </c>
      <c r="AF60" s="135">
        <f t="shared" si="31"/>
        <v>1474.1100504144038</v>
      </c>
      <c r="AG60" s="150">
        <f>AF60*(1+Constants!$D$20)^-H60</f>
        <v>1073.8092951784515</v>
      </c>
    </row>
    <row r="61" spans="8:33">
      <c r="H61" s="132">
        <v>17</v>
      </c>
      <c r="I61" s="139">
        <f>I60*(1-Constants!$D$11)</f>
        <v>0.91831646835436498</v>
      </c>
      <c r="J61" s="134">
        <f t="shared" si="25"/>
        <v>2688.6474108786979</v>
      </c>
      <c r="K61" s="134">
        <f t="shared" si="26"/>
        <v>2975.8007421912816</v>
      </c>
      <c r="L61" s="135">
        <f>IF(J61*'Grid Power'!K71&lt;0,0,J61*'Grid Power'!K34)</f>
        <v>675.09524646342618</v>
      </c>
      <c r="M61" s="136">
        <v>0</v>
      </c>
      <c r="N61" s="136">
        <f>N60*(1+Constants!$D$20)</f>
        <v>70.012070959621255</v>
      </c>
      <c r="O61" s="136">
        <v>0</v>
      </c>
      <c r="P61" s="136">
        <v>0</v>
      </c>
      <c r="Q61" s="136">
        <f>K61*'Grid Power'!$L$18</f>
        <v>312.63641184791322</v>
      </c>
      <c r="R61" s="136">
        <v>0</v>
      </c>
      <c r="S61" s="135">
        <f t="shared" si="24"/>
        <v>-432.47090557513422</v>
      </c>
      <c r="T61" s="135">
        <f>S61+'Analysis (Nothing)'!D22</f>
        <v>1651.594683235201</v>
      </c>
      <c r="U61" s="135">
        <v>0</v>
      </c>
      <c r="V61" s="135">
        <f>W60*Configurations!$C$47</f>
        <v>137.36036851131254</v>
      </c>
      <c r="W61" s="135">
        <f t="shared" si="27"/>
        <v>320.50752652639596</v>
      </c>
      <c r="X61" s="135">
        <v>0</v>
      </c>
      <c r="Y61" s="135">
        <f>Z60*Configurations!$D$47</f>
        <v>26.176689697815533</v>
      </c>
      <c r="Z61" s="135">
        <f t="shared" si="28"/>
        <v>235.5902072803398</v>
      </c>
      <c r="AA61" s="136">
        <v>0</v>
      </c>
      <c r="AB61" s="135">
        <f>AC60*Configurations!$E$47</f>
        <v>135.97398896661548</v>
      </c>
      <c r="AC61" s="135">
        <f t="shared" si="29"/>
        <v>543.89595586646192</v>
      </c>
      <c r="AD61" s="136">
        <f t="shared" si="30"/>
        <v>1352.0836360594574</v>
      </c>
      <c r="AE61" s="135">
        <f>AD61*Constants!$D$23</f>
        <v>135.20836360594575</v>
      </c>
      <c r="AF61" s="135">
        <f t="shared" si="31"/>
        <v>1516.3863196292552</v>
      </c>
      <c r="AG61" s="150">
        <f>AF61*(1+Constants!$D$20)^-H61</f>
        <v>1082.946339713202</v>
      </c>
    </row>
    <row r="62" spans="8:33">
      <c r="H62" s="132">
        <v>18</v>
      </c>
      <c r="I62" s="139">
        <f>I61*(1-Constants!$D$11)</f>
        <v>0.91372488601259316</v>
      </c>
      <c r="J62" s="134">
        <f t="shared" si="25"/>
        <v>2700.0603108756677</v>
      </c>
      <c r="K62" s="134">
        <f t="shared" si="26"/>
        <v>2960.9217384803251</v>
      </c>
      <c r="L62" s="135">
        <f>IF(J62*'Grid Power'!K72&lt;0,0,J62*'Grid Power'!K35)</f>
        <v>709.92106105708103</v>
      </c>
      <c r="M62" s="136">
        <v>0</v>
      </c>
      <c r="N62" s="136">
        <f>N61*(1+Constants!$D$20)</f>
        <v>71.412312378813681</v>
      </c>
      <c r="O62" s="136">
        <v>0</v>
      </c>
      <c r="P62" s="136">
        <v>0</v>
      </c>
      <c r="Q62" s="136">
        <f>K62*'Grid Power'!$L$18</f>
        <v>311.07322978867364</v>
      </c>
      <c r="R62" s="136">
        <v>0</v>
      </c>
      <c r="S62" s="135">
        <f t="shared" si="24"/>
        <v>-470.26014364722107</v>
      </c>
      <c r="T62" s="135">
        <f>S62+'Analysis (Nothing)'!D23</f>
        <v>1712.051555051552</v>
      </c>
      <c r="U62" s="135">
        <v>0</v>
      </c>
      <c r="V62" s="135">
        <f>W61*Configurations!$C$47</f>
        <v>96.152257957918792</v>
      </c>
      <c r="W62" s="135">
        <f t="shared" si="27"/>
        <v>224.35526856847719</v>
      </c>
      <c r="X62" s="135">
        <v>0</v>
      </c>
      <c r="Y62" s="135">
        <f>Z61*Configurations!$D$47</f>
        <v>23.559020728033982</v>
      </c>
      <c r="Z62" s="135">
        <f t="shared" si="28"/>
        <v>212.03118655230583</v>
      </c>
      <c r="AA62" s="136">
        <v>0</v>
      </c>
      <c r="AB62" s="135">
        <f>AC61*Configurations!$E$47</f>
        <v>108.77919117329239</v>
      </c>
      <c r="AC62" s="135">
        <f t="shared" si="29"/>
        <v>435.11676469316956</v>
      </c>
      <c r="AD62" s="136">
        <f t="shared" si="30"/>
        <v>1483.5610851923066</v>
      </c>
      <c r="AE62" s="135">
        <f>AD62*Constants!$D$23</f>
        <v>148.35610851923067</v>
      </c>
      <c r="AF62" s="135">
        <f t="shared" si="31"/>
        <v>1563.6954465323213</v>
      </c>
      <c r="AG62" s="150">
        <f>AF62*(1+Constants!$D$20)^-H62</f>
        <v>1094.8360264806613</v>
      </c>
    </row>
    <row r="63" spans="8:33">
      <c r="H63" s="132">
        <v>19</v>
      </c>
      <c r="I63" s="139">
        <f>I62*(1-Constants!$D$11)</f>
        <v>0.90915626158253016</v>
      </c>
      <c r="J63" s="134">
        <f t="shared" si="25"/>
        <v>2711.4161463726532</v>
      </c>
      <c r="K63" s="134">
        <f t="shared" si="26"/>
        <v>2946.1171297879237</v>
      </c>
      <c r="L63" s="135">
        <f>IF(J63*'Grid Power'!K73&lt;0,0,J63*'Grid Power'!K36)</f>
        <v>746.58041244333833</v>
      </c>
      <c r="M63" s="136">
        <v>0</v>
      </c>
      <c r="N63" s="136">
        <f>N62*(1+Constants!$D$20)</f>
        <v>72.840558626389949</v>
      </c>
      <c r="O63" s="136">
        <v>0</v>
      </c>
      <c r="P63" s="136">
        <v>0</v>
      </c>
      <c r="Q63" s="136">
        <f>K63*'Grid Power'!$L$18</f>
        <v>309.51786363973031</v>
      </c>
      <c r="R63" s="136">
        <v>0</v>
      </c>
      <c r="S63" s="135">
        <f t="shared" si="24"/>
        <v>-509.90310742999793</v>
      </c>
      <c r="T63" s="135">
        <f>S63+'Analysis (Nothing)'!D24</f>
        <v>1775.4883455884237</v>
      </c>
      <c r="U63" s="135">
        <v>0</v>
      </c>
      <c r="V63" s="135">
        <f>W62*Configurations!$C$47</f>
        <v>67.306580570543147</v>
      </c>
      <c r="W63" s="135">
        <f t="shared" si="27"/>
        <v>157.04868799793405</v>
      </c>
      <c r="X63" s="135">
        <v>0</v>
      </c>
      <c r="Y63" s="135">
        <f>Z62*Configurations!$D$47</f>
        <v>21.203118655230583</v>
      </c>
      <c r="Z63" s="135">
        <f t="shared" si="28"/>
        <v>190.82806789707524</v>
      </c>
      <c r="AA63" s="136">
        <v>0</v>
      </c>
      <c r="AB63" s="135">
        <f>AC62*Configurations!$E$47</f>
        <v>87.02335293863392</v>
      </c>
      <c r="AC63" s="135">
        <f t="shared" si="29"/>
        <v>348.09341175453562</v>
      </c>
      <c r="AD63" s="136">
        <f t="shared" si="30"/>
        <v>1599.955293424016</v>
      </c>
      <c r="AE63" s="135">
        <f>AD63*Constants!$D$23</f>
        <v>159.9955293424016</v>
      </c>
      <c r="AF63" s="135">
        <f>T63-AE63</f>
        <v>1615.4928162460221</v>
      </c>
      <c r="AG63" s="150">
        <f>AF63*(1+Constants!$D$20)^-H63</f>
        <v>1108.9239612590877</v>
      </c>
    </row>
    <row r="64" spans="8:33">
      <c r="H64" s="132">
        <v>20</v>
      </c>
      <c r="I64" s="139">
        <f>I63*(1-Constants!$D$11)</f>
        <v>0.90461048027461755</v>
      </c>
      <c r="J64" s="134">
        <f t="shared" si="25"/>
        <v>2722.7152026921535</v>
      </c>
      <c r="K64" s="134">
        <f t="shared" si="26"/>
        <v>2931.3865441389839</v>
      </c>
      <c r="L64" s="135">
        <f>IF(J64*'Grid Power'!K74&lt;0,0,J64*'Grid Power'!K37)</f>
        <v>785.17068597168918</v>
      </c>
      <c r="M64" s="136">
        <v>0</v>
      </c>
      <c r="N64" s="136">
        <f>N63*(1+Constants!$D$20)</f>
        <v>74.297369798917757</v>
      </c>
      <c r="O64" s="136">
        <f>Configurations!$D$38+Configurations!$D$40</f>
        <v>5055.8</v>
      </c>
      <c r="P64" s="136">
        <v>0</v>
      </c>
      <c r="Q64" s="136">
        <f>K64*'Grid Power'!$L$18</f>
        <v>307.97027432153163</v>
      </c>
      <c r="R64" s="136">
        <v>0</v>
      </c>
      <c r="S64" s="135">
        <f t="shared" si="24"/>
        <v>-5607.297781449075</v>
      </c>
      <c r="T64" s="135">
        <f>S64+'Analysis (Nothing)'!D25</f>
        <v>-3213.7503057716108</v>
      </c>
      <c r="U64" s="135">
        <f>Configurations!$D$38/2</f>
        <v>1487</v>
      </c>
      <c r="V64" s="135">
        <f>W63*Configurations!$C$47</f>
        <v>47.114606399380214</v>
      </c>
      <c r="W64" s="135">
        <f t="shared" si="27"/>
        <v>1596.9340815985538</v>
      </c>
      <c r="X64" s="135">
        <v>0</v>
      </c>
      <c r="Y64" s="135">
        <f>Z63*Configurations!$D$47</f>
        <v>19.082806789707526</v>
      </c>
      <c r="Z64" s="135">
        <f t="shared" si="28"/>
        <v>171.74526110736772</v>
      </c>
      <c r="AA64" s="136">
        <f>Configurations!$D$40/2</f>
        <v>1040.9000000000001</v>
      </c>
      <c r="AB64" s="135">
        <f>AC63*Configurations!$E$47</f>
        <v>69.618682350907122</v>
      </c>
      <c r="AC64" s="135">
        <f t="shared" si="29"/>
        <v>1319.3747294036286</v>
      </c>
      <c r="AD64" s="136">
        <f t="shared" si="30"/>
        <v>0</v>
      </c>
      <c r="AE64" s="135">
        <f>AD64*Constants!$D$23</f>
        <v>0</v>
      </c>
      <c r="AF64" s="135">
        <f>T64-AE64</f>
        <v>-3213.7503057716108</v>
      </c>
      <c r="AG64" s="150">
        <f>AF64*(1+Constants!$D$20)^-H64</f>
        <v>-2162.7618275515492</v>
      </c>
    </row>
    <row r="65" spans="8:33">
      <c r="H65" s="132">
        <v>21</v>
      </c>
      <c r="I65" s="139">
        <f>I64*(1-Constants!$D$11)</f>
        <v>0.90008742787324447</v>
      </c>
      <c r="J65" s="134">
        <f t="shared" si="25"/>
        <v>2733.9577637300563</v>
      </c>
      <c r="K65" s="134">
        <f t="shared" ref="K65:K87" si="32">$F$18*I65</f>
        <v>2916.7296114182891</v>
      </c>
      <c r="L65" s="135">
        <f>IF(J65*'Grid Power'!K75&lt;0,0,J65*'Grid Power'!K38)</f>
        <v>825.79444484508178</v>
      </c>
      <c r="M65" s="136">
        <v>0</v>
      </c>
      <c r="N65" s="136">
        <f>N64*(1+Constants!$D$20)</f>
        <v>75.783317194896114</v>
      </c>
      <c r="O65" s="136">
        <v>0</v>
      </c>
      <c r="P65" s="136">
        <v>0</v>
      </c>
      <c r="Q65" s="136">
        <f>K65*'Grid Power'!$L$18</f>
        <v>306.43042294992398</v>
      </c>
      <c r="R65" s="136">
        <v>0</v>
      </c>
      <c r="S65" s="135">
        <f t="shared" ref="S65:S87" si="33">SUM(P65:R65)-SUM(L65:O65)</f>
        <v>-595.14733909005395</v>
      </c>
      <c r="T65" s="135">
        <f>S65+'Analysis (Nothing)'!D26</f>
        <v>1911.887339690277</v>
      </c>
      <c r="U65" s="135">
        <f>Configurations!$D$38/2</f>
        <v>1487</v>
      </c>
      <c r="V65" s="135">
        <f>W64*Configurations!$C$47</f>
        <v>479.08022447956614</v>
      </c>
      <c r="W65" s="135">
        <f t="shared" ref="W65:W87" si="34">W64+U65-V65</f>
        <v>2604.8538571189874</v>
      </c>
      <c r="X65" s="135">
        <v>1</v>
      </c>
      <c r="Y65" s="135">
        <f>Z64*Configurations!$D$47</f>
        <v>17.174526110736775</v>
      </c>
      <c r="Z65" s="135">
        <f t="shared" ref="Z65:Z87" si="35">Z64+X65-Y65</f>
        <v>155.57073499663096</v>
      </c>
      <c r="AA65" s="136">
        <f>Configurations!$D$40/2</f>
        <v>1040.9000000000001</v>
      </c>
      <c r="AB65" s="135">
        <f>AC64*Configurations!$E$47</f>
        <v>263.87494588072576</v>
      </c>
      <c r="AC65" s="135">
        <f t="shared" ref="AC65:AC87" si="36">AC64+AA65-AB65</f>
        <v>2096.3997835229034</v>
      </c>
      <c r="AD65" s="136">
        <f t="shared" ref="AD65:AD87" si="37">IF(T65-AB65-Y65-V65&lt;0, 0,T65-AB65-Y65-V65)</f>
        <v>1151.7576432192484</v>
      </c>
      <c r="AE65" s="135">
        <f>AD65*Constants!$D$23</f>
        <v>115.17576432192485</v>
      </c>
      <c r="AF65" s="135">
        <f t="shared" ref="AF65:AF87" si="38">T65-AE65</f>
        <v>1796.7115753683522</v>
      </c>
      <c r="AG65" s="150">
        <f>AF65*(1+Constants!$D$20)^-H65</f>
        <v>1185.4268471434495</v>
      </c>
    </row>
    <row r="66" spans="8:33">
      <c r="H66" s="132">
        <v>22</v>
      </c>
      <c r="I66" s="139">
        <f>I65*(1-Constants!$D$11)</f>
        <v>0.89558699073387826</v>
      </c>
      <c r="J66" s="134">
        <f t="shared" si="25"/>
        <v>2745.1441119627698</v>
      </c>
      <c r="K66" s="134">
        <f t="shared" si="32"/>
        <v>2902.1459633611976</v>
      </c>
      <c r="L66" s="135">
        <f>IF(J66*'Grid Power'!K76&lt;0,0,J66*'Grid Power'!K39)</f>
        <v>868.55970470790976</v>
      </c>
      <c r="M66" s="136">
        <v>0</v>
      </c>
      <c r="N66" s="136">
        <f>N65*(1+Constants!$D$20)</f>
        <v>77.298983538794033</v>
      </c>
      <c r="O66" s="136">
        <v>0</v>
      </c>
      <c r="P66" s="136">
        <v>0</v>
      </c>
      <c r="Q66" s="136">
        <f>K66*'Grid Power'!$L$18</f>
        <v>304.89827083517434</v>
      </c>
      <c r="R66" s="136">
        <v>0</v>
      </c>
      <c r="S66" s="135">
        <f t="shared" si="33"/>
        <v>-640.96041741152942</v>
      </c>
      <c r="T66" s="135">
        <f>S66+'Analysis (Nothing)'!D27</f>
        <v>1985.160470030467</v>
      </c>
      <c r="U66" s="135">
        <v>0</v>
      </c>
      <c r="V66" s="135">
        <f>W65*Configurations!$C$47</f>
        <v>781.45615713569623</v>
      </c>
      <c r="W66" s="135">
        <f t="shared" si="34"/>
        <v>1823.3976999832912</v>
      </c>
      <c r="X66" s="135">
        <v>2</v>
      </c>
      <c r="Y66" s="135">
        <f>Z65*Configurations!$D$47</f>
        <v>15.557073499663097</v>
      </c>
      <c r="Z66" s="135">
        <f t="shared" si="35"/>
        <v>142.01366149696787</v>
      </c>
      <c r="AA66" s="136">
        <v>0</v>
      </c>
      <c r="AB66" s="135">
        <f>AC65*Configurations!$E$47</f>
        <v>419.27995670458068</v>
      </c>
      <c r="AC66" s="135">
        <f t="shared" si="36"/>
        <v>1677.1198268183227</v>
      </c>
      <c r="AD66" s="136">
        <f t="shared" si="37"/>
        <v>768.86728269052696</v>
      </c>
      <c r="AE66" s="135">
        <f>AD66*Constants!$D$23</f>
        <v>76.886728269052696</v>
      </c>
      <c r="AF66" s="135">
        <f t="shared" si="38"/>
        <v>1908.2737417614144</v>
      </c>
      <c r="AG66" s="150">
        <f>AF66*(1+Constants!$D$20)^-H66</f>
        <v>1234.3459476434837</v>
      </c>
    </row>
    <row r="67" spans="8:33">
      <c r="H67" s="132">
        <v>23</v>
      </c>
      <c r="I67" s="139">
        <f>I66*(1-Constants!$D$11)</f>
        <v>0.89110905578020883</v>
      </c>
      <c r="J67" s="134">
        <f t="shared" si="25"/>
        <v>2756.2745284543198</v>
      </c>
      <c r="K67" s="134">
        <f t="shared" si="32"/>
        <v>2887.6352335443917</v>
      </c>
      <c r="L67" s="135">
        <f>IF(J67*'Grid Power'!K77&lt;0,0,J67*'Grid Power'!K40)</f>
        <v>913.58022273979066</v>
      </c>
      <c r="M67" s="136">
        <v>0</v>
      </c>
      <c r="N67" s="136">
        <f>N66*(1+Constants!$D$20)</f>
        <v>78.844963209569912</v>
      </c>
      <c r="O67" s="136">
        <v>0</v>
      </c>
      <c r="P67" s="136">
        <v>0</v>
      </c>
      <c r="Q67" s="136">
        <f>K67*'Grid Power'!$L$18</f>
        <v>303.37377948099851</v>
      </c>
      <c r="R67" s="136">
        <v>0</v>
      </c>
      <c r="S67" s="135">
        <f t="shared" si="33"/>
        <v>-689.05140646836207</v>
      </c>
      <c r="T67" s="135">
        <f>S67+'Analysis (Nothing)'!D28</f>
        <v>2062.0360899580096</v>
      </c>
      <c r="U67" s="135">
        <v>0</v>
      </c>
      <c r="V67" s="135">
        <f>W66*Configurations!$C$47</f>
        <v>547.01930999498734</v>
      </c>
      <c r="W67" s="135">
        <f t="shared" si="34"/>
        <v>1276.3783899883038</v>
      </c>
      <c r="X67" s="135">
        <v>3</v>
      </c>
      <c r="Y67" s="135">
        <f>Z66*Configurations!$D$47</f>
        <v>14.201366149696788</v>
      </c>
      <c r="Z67" s="135">
        <f t="shared" si="35"/>
        <v>130.81229534727109</v>
      </c>
      <c r="AA67" s="136">
        <v>0</v>
      </c>
      <c r="AB67" s="135">
        <f>AC66*Configurations!$E$47</f>
        <v>335.42396536366459</v>
      </c>
      <c r="AC67" s="135">
        <f t="shared" si="36"/>
        <v>1341.6958614546581</v>
      </c>
      <c r="AD67" s="136">
        <f t="shared" si="37"/>
        <v>1165.3914484496609</v>
      </c>
      <c r="AE67" s="135">
        <f>AD67*Constants!$D$23</f>
        <v>116.53914484496609</v>
      </c>
      <c r="AF67" s="135">
        <f t="shared" si="38"/>
        <v>1945.4969451130435</v>
      </c>
      <c r="AG67" s="150">
        <f>AF67*(1+Constants!$D$20)^-H67</f>
        <v>1233.7484006060818</v>
      </c>
    </row>
    <row r="68" spans="8:33">
      <c r="H68" s="132">
        <v>24</v>
      </c>
      <c r="I68" s="139">
        <f>I67*(1-Constants!$D$11)</f>
        <v>0.88665351050130781</v>
      </c>
      <c r="J68" s="134">
        <f t="shared" si="25"/>
        <v>2767.3492928634118</v>
      </c>
      <c r="K68" s="134">
        <f t="shared" si="32"/>
        <v>2873.1970573766698</v>
      </c>
      <c r="L68" s="135">
        <f>IF(J68*'Grid Power'!K78&lt;0,0,J68*'Grid Power'!K41)</f>
        <v>960.97580201837206</v>
      </c>
      <c r="M68" s="136">
        <v>0</v>
      </c>
      <c r="N68" s="136">
        <f>N67*(1+Constants!$D$20)</f>
        <v>80.421862473761308</v>
      </c>
      <c r="O68" s="136">
        <v>0</v>
      </c>
      <c r="P68" s="136">
        <v>0</v>
      </c>
      <c r="Q68" s="136">
        <f>K68*'Grid Power'!$L$18</f>
        <v>301.8569105835935</v>
      </c>
      <c r="R68" s="136">
        <v>0</v>
      </c>
      <c r="S68" s="135">
        <f t="shared" si="33"/>
        <v>-739.54075390853984</v>
      </c>
      <c r="T68" s="135">
        <f>S68+'Analysis (Nothing)'!D29</f>
        <v>2142.6894063223567</v>
      </c>
      <c r="U68" s="135">
        <v>0</v>
      </c>
      <c r="V68" s="135">
        <f>W67*Configurations!$C$47</f>
        <v>382.91351699649113</v>
      </c>
      <c r="W68" s="135">
        <f t="shared" si="34"/>
        <v>893.46487299181263</v>
      </c>
      <c r="X68" s="135">
        <v>4</v>
      </c>
      <c r="Y68" s="135">
        <f>Z67*Configurations!$D$47</f>
        <v>13.081229534727109</v>
      </c>
      <c r="Z68" s="135">
        <f t="shared" si="35"/>
        <v>121.73106581254397</v>
      </c>
      <c r="AA68" s="136">
        <v>0</v>
      </c>
      <c r="AB68" s="135">
        <f>AC67*Configurations!$E$47</f>
        <v>268.33917229093163</v>
      </c>
      <c r="AC68" s="135">
        <f t="shared" si="36"/>
        <v>1073.3566891637265</v>
      </c>
      <c r="AD68" s="136">
        <f t="shared" si="37"/>
        <v>1478.3554875002069</v>
      </c>
      <c r="AE68" s="135">
        <f>AD68*Constants!$D$23</f>
        <v>147.83554875002071</v>
      </c>
      <c r="AF68" s="135">
        <f t="shared" si="38"/>
        <v>1994.853857572336</v>
      </c>
      <c r="AG68" s="150">
        <f>AF68*(1+Constants!$D$20)^-H68</f>
        <v>1240.2435085504171</v>
      </c>
    </row>
    <row r="69" spans="8:33">
      <c r="H69" s="132">
        <v>25</v>
      </c>
      <c r="I69" s="139">
        <f>I68*(1-Constants!$D$11)</f>
        <v>0.8822202429488013</v>
      </c>
      <c r="J69" s="134">
        <f t="shared" si="25"/>
        <v>2778.3686834504583</v>
      </c>
      <c r="K69" s="134">
        <f t="shared" si="32"/>
        <v>2858.8310720897866</v>
      </c>
      <c r="L69" s="135">
        <f>IF(J69*'Grid Power'!K79&lt;0,0,J69*'Grid Power'!K42)</f>
        <v>1010.8726119544096</v>
      </c>
      <c r="M69" s="136">
        <v>0</v>
      </c>
      <c r="N69" s="136">
        <f>N68*(1+Constants!$D$20)</f>
        <v>82.030299723236539</v>
      </c>
      <c r="O69" s="136">
        <v>0</v>
      </c>
      <c r="P69" s="136">
        <v>0</v>
      </c>
      <c r="Q69" s="136">
        <f>K69*'Grid Power'!$L$18</f>
        <v>300.34762603067554</v>
      </c>
      <c r="R69" s="136">
        <v>0</v>
      </c>
      <c r="S69" s="135">
        <f t="shared" si="33"/>
        <v>-792.55528564697067</v>
      </c>
      <c r="T69" s="135">
        <f>S69+'Analysis (Nothing)'!D30</f>
        <v>2227.3042326751906</v>
      </c>
      <c r="U69" s="135">
        <v>0</v>
      </c>
      <c r="V69" s="135">
        <f>W68*Configurations!$C$47</f>
        <v>268.03946189754379</v>
      </c>
      <c r="W69" s="135">
        <f t="shared" si="34"/>
        <v>625.42541109426884</v>
      </c>
      <c r="X69" s="135">
        <v>5</v>
      </c>
      <c r="Y69" s="135">
        <f>Z68*Configurations!$D$47</f>
        <v>12.173106581254398</v>
      </c>
      <c r="Z69" s="135">
        <f t="shared" si="35"/>
        <v>114.55795923128957</v>
      </c>
      <c r="AA69" s="136">
        <v>0</v>
      </c>
      <c r="AB69" s="135">
        <f>AC68*Configurations!$E$47</f>
        <v>214.67133783274531</v>
      </c>
      <c r="AC69" s="135">
        <f t="shared" si="36"/>
        <v>858.68535133098123</v>
      </c>
      <c r="AD69" s="136">
        <f t="shared" si="37"/>
        <v>1732.4203263636471</v>
      </c>
      <c r="AE69" s="135">
        <f>AD69*Constants!$D$23</f>
        <v>173.24203263636471</v>
      </c>
      <c r="AF69" s="135">
        <f t="shared" si="38"/>
        <v>2054.0622000388257</v>
      </c>
      <c r="AG69" s="150">
        <f>AF69*(1+Constants!$D$20)^-H69</f>
        <v>1252.0143209088981</v>
      </c>
    </row>
    <row r="70" spans="8:33">
      <c r="H70" s="132">
        <v>26</v>
      </c>
      <c r="I70" s="139">
        <f>I69*(1-Constants!$D$11)</f>
        <v>0.87780914173405733</v>
      </c>
      <c r="J70" s="134">
        <f t="shared" si="25"/>
        <v>2789.3329770845694</v>
      </c>
      <c r="K70" s="134">
        <f t="shared" si="32"/>
        <v>2844.5369167293375</v>
      </c>
      <c r="L70" s="135">
        <f>IF(J70*'Grid Power'!K80&lt;0,0,J70*'Grid Power'!K43)</f>
        <v>1063.4035256444613</v>
      </c>
      <c r="M70" s="136">
        <v>0</v>
      </c>
      <c r="N70" s="136">
        <f>N69*(1+Constants!$D$20)</f>
        <v>83.670905717701274</v>
      </c>
      <c r="O70" s="136">
        <v>0</v>
      </c>
      <c r="P70" s="136">
        <v>0</v>
      </c>
      <c r="Q70" s="136">
        <f>K70*'Grid Power'!$L$18</f>
        <v>298.84588790052214</v>
      </c>
      <c r="R70" s="136">
        <v>0</v>
      </c>
      <c r="S70" s="135">
        <f t="shared" si="33"/>
        <v>-848.22854346164047</v>
      </c>
      <c r="T70" s="135">
        <f>S70+'Analysis (Nothing)'!D31</f>
        <v>2316.0734138526695</v>
      </c>
      <c r="U70" s="135">
        <v>0</v>
      </c>
      <c r="V70" s="135">
        <f>W69*Configurations!$C$47</f>
        <v>187.62762332828063</v>
      </c>
      <c r="W70" s="135">
        <f t="shared" si="34"/>
        <v>437.79778776598823</v>
      </c>
      <c r="X70" s="135">
        <v>6</v>
      </c>
      <c r="Y70" s="135">
        <f>Z69*Configurations!$D$47</f>
        <v>11.455795923128958</v>
      </c>
      <c r="Z70" s="135">
        <f t="shared" si="35"/>
        <v>109.10216330816061</v>
      </c>
      <c r="AA70" s="136">
        <v>0</v>
      </c>
      <c r="AB70" s="135">
        <f>AC69*Configurations!$E$47</f>
        <v>171.73707026619627</v>
      </c>
      <c r="AC70" s="135">
        <f t="shared" si="36"/>
        <v>686.94828106478496</v>
      </c>
      <c r="AD70" s="136">
        <f t="shared" si="37"/>
        <v>1945.2529243350637</v>
      </c>
      <c r="AE70" s="135">
        <f>AD70*Constants!$D$23</f>
        <v>194.52529243350637</v>
      </c>
      <c r="AF70" s="135">
        <f t="shared" si="38"/>
        <v>2121.5481214191632</v>
      </c>
      <c r="AG70" s="150">
        <f>AF70*(1+Constants!$D$20)^-H70</f>
        <v>1267.7932091335863</v>
      </c>
    </row>
    <row r="71" spans="8:33">
      <c r="H71" s="132">
        <v>27</v>
      </c>
      <c r="I71" s="139">
        <f>I70*(1-Constants!$D$11)</f>
        <v>0.87342009602538706</v>
      </c>
      <c r="J71" s="134">
        <f t="shared" si="25"/>
        <v>2800.2424492505102</v>
      </c>
      <c r="K71" s="134">
        <f t="shared" si="32"/>
        <v>2830.3142321456912</v>
      </c>
      <c r="L71" s="135">
        <f>IF(J71*'Grid Power'!K81&lt;0,0,J71*'Grid Power'!K44)</f>
        <v>1118.7084750308391</v>
      </c>
      <c r="M71" s="136">
        <v>0</v>
      </c>
      <c r="N71" s="136">
        <f>N70*(1+Constants!$D$20)</f>
        <v>85.344323832055295</v>
      </c>
      <c r="O71" s="136">
        <v>0</v>
      </c>
      <c r="P71" s="136">
        <v>0</v>
      </c>
      <c r="Q71" s="136">
        <f>K71*'Grid Power'!$L$18</f>
        <v>297.35165846101961</v>
      </c>
      <c r="R71" s="136">
        <v>0</v>
      </c>
      <c r="S71" s="135">
        <f t="shared" si="33"/>
        <v>-906.7011404018748</v>
      </c>
      <c r="T71" s="135">
        <f>S71+'Analysis (Nothing)'!D32</f>
        <v>2409.1992715714528</v>
      </c>
      <c r="U71" s="135">
        <v>0</v>
      </c>
      <c r="V71" s="135">
        <f>W70*Configurations!$C$47</f>
        <v>131.33933632979645</v>
      </c>
      <c r="W71" s="135">
        <f t="shared" si="34"/>
        <v>306.45845143619181</v>
      </c>
      <c r="X71" s="135">
        <v>7</v>
      </c>
      <c r="Y71" s="135">
        <f>Z70*Configurations!$D$47</f>
        <v>10.910216330816063</v>
      </c>
      <c r="Z71" s="135">
        <f t="shared" si="35"/>
        <v>105.19194697734454</v>
      </c>
      <c r="AA71" s="136">
        <v>0</v>
      </c>
      <c r="AB71" s="135">
        <f>AC70*Configurations!$E$47</f>
        <v>137.38965621295699</v>
      </c>
      <c r="AC71" s="135">
        <f t="shared" si="36"/>
        <v>549.55862485182797</v>
      </c>
      <c r="AD71" s="136">
        <f t="shared" si="37"/>
        <v>2129.560062697883</v>
      </c>
      <c r="AE71" s="135">
        <f>AD71*Constants!$D$23</f>
        <v>212.9560062697883</v>
      </c>
      <c r="AF71" s="135">
        <f t="shared" si="38"/>
        <v>2196.2432653016645</v>
      </c>
      <c r="AG71" s="150">
        <f>AF71*(1+Constants!$D$20)^-H71</f>
        <v>1286.6955684267534</v>
      </c>
    </row>
    <row r="72" spans="8:33">
      <c r="H72" s="132">
        <v>28</v>
      </c>
      <c r="I72" s="139">
        <f>I71*(1-Constants!$D$11)</f>
        <v>0.86905299554526017</v>
      </c>
      <c r="J72" s="134">
        <f t="shared" si="25"/>
        <v>2811.0973740556215</v>
      </c>
      <c r="K72" s="134">
        <f t="shared" si="32"/>
        <v>2816.1626609849627</v>
      </c>
      <c r="L72" s="135">
        <f>IF(J72*'Grid Power'!K82&lt;0,0,J72*'Grid Power'!K45)</f>
        <v>1176.9348248050751</v>
      </c>
      <c r="M72" s="136">
        <v>0</v>
      </c>
      <c r="N72" s="136">
        <f>N71*(1+Constants!$D$20)</f>
        <v>87.051210308696398</v>
      </c>
      <c r="O72" s="136">
        <v>0</v>
      </c>
      <c r="P72" s="136">
        <v>0</v>
      </c>
      <c r="Q72" s="136">
        <f>K72*'Grid Power'!$L$18</f>
        <v>295.86490016871448</v>
      </c>
      <c r="R72" s="136">
        <v>0</v>
      </c>
      <c r="S72" s="135">
        <f t="shared" si="33"/>
        <v>-968.12113494505707</v>
      </c>
      <c r="T72" s="135">
        <f>S72+'Analysis (Nothing)'!D33</f>
        <v>2506.8940720812898</v>
      </c>
      <c r="U72" s="135">
        <v>0</v>
      </c>
      <c r="V72" s="135">
        <f>W71*Configurations!$C$47</f>
        <v>91.937535430857537</v>
      </c>
      <c r="W72" s="135">
        <f t="shared" si="34"/>
        <v>214.52091600533427</v>
      </c>
      <c r="X72" s="135">
        <v>8</v>
      </c>
      <c r="Y72" s="135">
        <f>Z71*Configurations!$D$47</f>
        <v>10.519194697734456</v>
      </c>
      <c r="Z72" s="135">
        <f t="shared" si="35"/>
        <v>102.67275227961008</v>
      </c>
      <c r="AA72" s="136">
        <v>0</v>
      </c>
      <c r="AB72" s="135">
        <f>AC71*Configurations!$E$47</f>
        <v>109.9117249703656</v>
      </c>
      <c r="AC72" s="135">
        <f t="shared" si="36"/>
        <v>439.64689988146239</v>
      </c>
      <c r="AD72" s="136">
        <f t="shared" si="37"/>
        <v>2294.5256169823324</v>
      </c>
      <c r="AE72" s="135">
        <f>AD72*Constants!$D$23</f>
        <v>229.45256169823324</v>
      </c>
      <c r="AF72" s="135">
        <f t="shared" si="38"/>
        <v>2277.4415103830565</v>
      </c>
      <c r="AG72" s="150">
        <f>AF72*(1+Constants!$D$20)^-H72</f>
        <v>1308.1044492700994</v>
      </c>
    </row>
    <row r="73" spans="8:33">
      <c r="H73" s="132">
        <v>29</v>
      </c>
      <c r="I73" s="139">
        <f>I72*(1-Constants!$D$11)</f>
        <v>0.86470773056753381</v>
      </c>
      <c r="J73" s="134">
        <f t="shared" si="25"/>
        <v>2821.8980242367074</v>
      </c>
      <c r="K73" s="134">
        <f t="shared" si="32"/>
        <v>2802.0818476800378</v>
      </c>
      <c r="L73" s="135">
        <f>IF(J73*'Grid Power'!K83&lt;0,0,J73*'Grid Power'!K46)</f>
        <v>1238.2377660401951</v>
      </c>
      <c r="M73" s="136">
        <v>0</v>
      </c>
      <c r="N73" s="136">
        <f>N72*(1+Constants!$D$20)</f>
        <v>88.79223451487033</v>
      </c>
      <c r="O73" s="136">
        <v>0</v>
      </c>
      <c r="P73" s="136">
        <v>0</v>
      </c>
      <c r="Q73" s="136">
        <f>K73*'Grid Power'!$L$18</f>
        <v>294.38557566787091</v>
      </c>
      <c r="R73" s="136">
        <v>0</v>
      </c>
      <c r="S73" s="135">
        <f t="shared" si="33"/>
        <v>-1032.6444248871946</v>
      </c>
      <c r="T73" s="135">
        <f>S73+'Analysis (Nothing)'!D34</f>
        <v>2609.3805169688076</v>
      </c>
      <c r="U73" s="135">
        <v>0</v>
      </c>
      <c r="V73" s="135">
        <f>W72*Configurations!$C$47</f>
        <v>64.356274801600279</v>
      </c>
      <c r="W73" s="135">
        <f t="shared" si="34"/>
        <v>150.16464120373399</v>
      </c>
      <c r="X73" s="135">
        <v>9</v>
      </c>
      <c r="Y73" s="135">
        <f>Z72*Configurations!$D$47</f>
        <v>10.267275227961008</v>
      </c>
      <c r="Z73" s="135">
        <f t="shared" si="35"/>
        <v>101.40547705164907</v>
      </c>
      <c r="AA73" s="136">
        <v>0</v>
      </c>
      <c r="AB73" s="135">
        <f>AC72*Configurations!$E$47</f>
        <v>87.929379976292481</v>
      </c>
      <c r="AC73" s="135">
        <f t="shared" si="36"/>
        <v>351.71751990516992</v>
      </c>
      <c r="AD73" s="136">
        <f t="shared" si="37"/>
        <v>2446.8275869629538</v>
      </c>
      <c r="AE73" s="135">
        <f>AD73*Constants!$D$23</f>
        <v>244.68275869629539</v>
      </c>
      <c r="AF73" s="135">
        <f t="shared" si="38"/>
        <v>2364.6977582725121</v>
      </c>
      <c r="AG73" s="150">
        <f>AF73*(1+Constants!$D$20)^-H73</f>
        <v>1331.5904094498771</v>
      </c>
    </row>
    <row r="74" spans="8:33">
      <c r="H74" s="132">
        <v>30</v>
      </c>
      <c r="I74" s="139">
        <f>I73*(1-Constants!$D$11)</f>
        <v>0.86038419191469617</v>
      </c>
      <c r="J74" s="134">
        <f t="shared" si="25"/>
        <v>2832.6446711668873</v>
      </c>
      <c r="K74" s="134">
        <f t="shared" si="32"/>
        <v>2788.0714384416378</v>
      </c>
      <c r="L74" s="135">
        <f>IF(J74*'Grid Power'!K84&lt;0,0,J74*'Grid Power'!K47)</f>
        <v>1302.7807305887143</v>
      </c>
      <c r="M74" s="136">
        <v>0</v>
      </c>
      <c r="N74" s="136">
        <f>N73*(1+Constants!$D$20)</f>
        <v>90.568079205167734</v>
      </c>
      <c r="O74" s="136">
        <f>Configurations!$D$38+Configurations!$D$40</f>
        <v>5055.8</v>
      </c>
      <c r="P74" s="136">
        <v>0</v>
      </c>
      <c r="Q74" s="136">
        <f>K74*'Grid Power'!$L$18</f>
        <v>292.91364778953158</v>
      </c>
      <c r="R74" s="136">
        <v>0</v>
      </c>
      <c r="S74" s="135">
        <f t="shared" si="33"/>
        <v>-6156.2351620043501</v>
      </c>
      <c r="T74" s="135">
        <f>S74+'Analysis (Nothing)'!D35</f>
        <v>-2338.907741738411</v>
      </c>
      <c r="U74" s="135">
        <f>Configurations!$D$38/2</f>
        <v>1487</v>
      </c>
      <c r="V74" s="135">
        <f>W73*Configurations!$C$47</f>
        <v>45.049392361120198</v>
      </c>
      <c r="W74" s="135">
        <f t="shared" si="34"/>
        <v>1592.1152488426137</v>
      </c>
      <c r="X74" s="135">
        <v>10</v>
      </c>
      <c r="Y74" s="135">
        <f>Z73*Configurations!$D$47</f>
        <v>10.140547705164908</v>
      </c>
      <c r="Z74" s="135">
        <f t="shared" si="35"/>
        <v>101.26492934648417</v>
      </c>
      <c r="AA74" s="136">
        <f>Configurations!$D$40/2</f>
        <v>1040.9000000000001</v>
      </c>
      <c r="AB74" s="135">
        <f>AC73*Configurations!$E$47</f>
        <v>70.34350398103399</v>
      </c>
      <c r="AC74" s="135">
        <f t="shared" si="36"/>
        <v>1322.2740159241359</v>
      </c>
      <c r="AD74" s="136">
        <f t="shared" si="37"/>
        <v>0</v>
      </c>
      <c r="AE74" s="135">
        <f>AD74*Constants!$D$23</f>
        <v>0</v>
      </c>
      <c r="AF74" s="135">
        <f t="shared" si="38"/>
        <v>-2338.907741738411</v>
      </c>
      <c r="AG74" s="150">
        <f>AF74*(1+Constants!$D$20)^-H74</f>
        <v>-1291.2428762235229</v>
      </c>
    </row>
    <row r="75" spans="8:33">
      <c r="H75" s="132">
        <v>31</v>
      </c>
      <c r="I75" s="139">
        <f>I74*(1-Constants!$D$11)</f>
        <v>0.85608227095512268</v>
      </c>
      <c r="J75" s="134">
        <f t="shared" si="25"/>
        <v>2843.3375848624169</v>
      </c>
      <c r="K75" s="134">
        <f t="shared" si="32"/>
        <v>2774.1310812494294</v>
      </c>
      <c r="L75" s="135">
        <f>IF(J75*'Grid Power'!K85&lt;0,0,J75*'Grid Power'!K48)</f>
        <v>1370.7358273375564</v>
      </c>
      <c r="M75" s="136">
        <v>0</v>
      </c>
      <c r="N75" s="136">
        <f>N74*(1+Constants!$D$20)</f>
        <v>92.379440789271086</v>
      </c>
      <c r="O75" s="136">
        <v>0</v>
      </c>
      <c r="P75" s="136">
        <v>0</v>
      </c>
      <c r="Q75" s="136">
        <f>K75*'Grid Power'!$L$18</f>
        <v>291.44907955058386</v>
      </c>
      <c r="R75" s="136">
        <v>0</v>
      </c>
      <c r="S75" s="135">
        <f t="shared" si="33"/>
        <v>-1171.6661885762437</v>
      </c>
      <c r="T75" s="135">
        <f>S75+'Analysis (Nothing)'!D36</f>
        <v>2829.6744390387958</v>
      </c>
      <c r="U75" s="135">
        <f>Configurations!$D$38/2</f>
        <v>1487</v>
      </c>
      <c r="V75" s="135">
        <f>W74*Configurations!$C$47</f>
        <v>477.63457465278407</v>
      </c>
      <c r="W75" s="135">
        <f t="shared" si="34"/>
        <v>2601.4806741898296</v>
      </c>
      <c r="X75" s="135">
        <v>11</v>
      </c>
      <c r="Y75" s="135">
        <f>Z74*Configurations!$D$47</f>
        <v>10.126492934648418</v>
      </c>
      <c r="Z75" s="135">
        <f t="shared" si="35"/>
        <v>102.13843641183576</v>
      </c>
      <c r="AA75" s="136">
        <f>Configurations!$D$40/2</f>
        <v>1040.9000000000001</v>
      </c>
      <c r="AB75" s="135">
        <f>AC74*Configurations!$E$47</f>
        <v>264.4548031848272</v>
      </c>
      <c r="AC75" s="135">
        <f t="shared" si="36"/>
        <v>2098.7192127393091</v>
      </c>
      <c r="AD75" s="136">
        <f t="shared" si="37"/>
        <v>2077.4585682665361</v>
      </c>
      <c r="AE75" s="135">
        <f>AD75*Constants!$D$23</f>
        <v>207.74585682665361</v>
      </c>
      <c r="AF75" s="135">
        <f t="shared" si="38"/>
        <v>2621.9285822121419</v>
      </c>
      <c r="AG75" s="150">
        <f>AF75*(1+Constants!$D$20)^-H75</f>
        <v>1419.1082776702922</v>
      </c>
    </row>
    <row r="76" spans="8:33">
      <c r="H76" s="132">
        <v>32</v>
      </c>
      <c r="I76" s="139">
        <f>I75*(1-Constants!$D$11)</f>
        <v>0.85180185960034704</v>
      </c>
      <c r="J76" s="134">
        <f t="shared" si="25"/>
        <v>2853.9770339894685</v>
      </c>
      <c r="K76" s="134">
        <f t="shared" si="32"/>
        <v>2760.260425843182</v>
      </c>
      <c r="L76" s="135">
        <f>IF(J76*'Grid Power'!K86&lt;0,0,J76*'Grid Power'!K49)</f>
        <v>1442.2843014682405</v>
      </c>
      <c r="M76" s="136">
        <v>0</v>
      </c>
      <c r="N76" s="136">
        <f>N75*(1+Constants!$D$20)</f>
        <v>94.227029605056515</v>
      </c>
      <c r="O76" s="136">
        <v>0</v>
      </c>
      <c r="P76" s="136">
        <v>0</v>
      </c>
      <c r="Q76" s="136">
        <f>K76*'Grid Power'!$L$18</f>
        <v>289.99183415283096</v>
      </c>
      <c r="R76" s="136">
        <v>0</v>
      </c>
      <c r="S76" s="135">
        <f t="shared" si="33"/>
        <v>-1246.5194969204661</v>
      </c>
      <c r="T76" s="135">
        <f>S76+'Analysis (Nothing)'!D37</f>
        <v>2947.9842608146191</v>
      </c>
      <c r="U76" s="135">
        <v>0</v>
      </c>
      <c r="V76" s="135">
        <f>W75*Configurations!$C$47</f>
        <v>780.44420225694887</v>
      </c>
      <c r="W76" s="135">
        <f t="shared" si="34"/>
        <v>1821.0364719328809</v>
      </c>
      <c r="X76" s="135">
        <v>12</v>
      </c>
      <c r="Y76" s="135">
        <f>Z75*Configurations!$D$47</f>
        <v>10.213843641183576</v>
      </c>
      <c r="Z76" s="135">
        <f t="shared" si="35"/>
        <v>103.92459277065218</v>
      </c>
      <c r="AA76" s="136">
        <v>0</v>
      </c>
      <c r="AB76" s="135">
        <f>AC75*Configurations!$E$47</f>
        <v>419.74384254786185</v>
      </c>
      <c r="AC76" s="135">
        <f t="shared" si="36"/>
        <v>1678.9753701914474</v>
      </c>
      <c r="AD76" s="136">
        <f t="shared" si="37"/>
        <v>1737.5823723686249</v>
      </c>
      <c r="AE76" s="135">
        <f>AD76*Constants!$D$23</f>
        <v>173.7582372368625</v>
      </c>
      <c r="AF76" s="135">
        <f t="shared" si="38"/>
        <v>2774.2260235777567</v>
      </c>
      <c r="AG76" s="150">
        <f>AF76*(1+Constants!$D$20)^-H76</f>
        <v>1472.0967195960961</v>
      </c>
    </row>
    <row r="77" spans="8:33">
      <c r="H77" s="132">
        <v>33</v>
      </c>
      <c r="I77" s="139">
        <f>I76*(1-Constants!$D$11)</f>
        <v>0.84754285030234533</v>
      </c>
      <c r="J77" s="134">
        <f t="shared" si="25"/>
        <v>2864.5632858708846</v>
      </c>
      <c r="K77" s="134">
        <f t="shared" si="32"/>
        <v>2746.4591237139662</v>
      </c>
      <c r="L77" s="135">
        <f>IF(J77*'Grid Power'!K87&lt;0,0,J77*'Grid Power'!K50)</f>
        <v>1517.6170179308019</v>
      </c>
      <c r="M77" s="136">
        <v>0</v>
      </c>
      <c r="N77" s="136">
        <f>N76*(1+Constants!$D$20)</f>
        <v>96.111570197157647</v>
      </c>
      <c r="O77" s="136">
        <v>0</v>
      </c>
      <c r="P77" s="136">
        <v>0</v>
      </c>
      <c r="Q77" s="136">
        <f>K77*'Grid Power'!$L$18</f>
        <v>288.54187498206682</v>
      </c>
      <c r="R77" s="136">
        <v>0</v>
      </c>
      <c r="S77" s="135">
        <f t="shared" si="33"/>
        <v>-1325.1867131458926</v>
      </c>
      <c r="T77" s="135">
        <f>S77+'Analysis (Nothing)'!D38</f>
        <v>3072.0915790238173</v>
      </c>
      <c r="U77" s="135">
        <v>0</v>
      </c>
      <c r="V77" s="135">
        <f>W76*Configurations!$C$47</f>
        <v>546.31094157986422</v>
      </c>
      <c r="W77" s="135">
        <f t="shared" si="34"/>
        <v>1274.7255303530167</v>
      </c>
      <c r="X77" s="135">
        <v>13</v>
      </c>
      <c r="Y77" s="135">
        <f>Z76*Configurations!$D$47</f>
        <v>10.392459277065219</v>
      </c>
      <c r="Z77" s="135">
        <f t="shared" si="35"/>
        <v>106.53213349358697</v>
      </c>
      <c r="AA77" s="136">
        <v>0</v>
      </c>
      <c r="AB77" s="135">
        <f>AC76*Configurations!$E$47</f>
        <v>335.7950740382895</v>
      </c>
      <c r="AC77" s="135">
        <f t="shared" si="36"/>
        <v>1343.180296153158</v>
      </c>
      <c r="AD77" s="136">
        <f t="shared" si="37"/>
        <v>2179.5931041285985</v>
      </c>
      <c r="AE77" s="135">
        <f>AD77*Constants!$D$23</f>
        <v>217.95931041285985</v>
      </c>
      <c r="AF77" s="135">
        <f t="shared" si="38"/>
        <v>2854.1322686109575</v>
      </c>
      <c r="AG77" s="150">
        <f>AF77*(1+Constants!$D$20)^-H77</f>
        <v>1484.8016023232997</v>
      </c>
    </row>
    <row r="78" spans="8:33">
      <c r="H78" s="132">
        <v>34</v>
      </c>
      <c r="I78" s="139">
        <f>I77*(1-Constants!$D$11)</f>
        <v>0.84330513605083357</v>
      </c>
      <c r="J78" s="134">
        <f t="shared" si="25"/>
        <v>2875.0966064928934</v>
      </c>
      <c r="K78" s="134">
        <f t="shared" si="32"/>
        <v>2732.7268280953963</v>
      </c>
      <c r="L78" s="135">
        <f>IF(J78*'Grid Power'!K88&lt;0,0,J78*'Grid Power'!K51)</f>
        <v>1596.9349704031549</v>
      </c>
      <c r="M78" s="136">
        <v>0</v>
      </c>
      <c r="N78" s="136">
        <f>N77*(1+Constants!$D$20)</f>
        <v>98.033801601100805</v>
      </c>
      <c r="O78" s="136">
        <v>0</v>
      </c>
      <c r="P78" s="136">
        <v>0</v>
      </c>
      <c r="Q78" s="136">
        <f>K78*'Grid Power'!$L$18</f>
        <v>287.09916560715646</v>
      </c>
      <c r="R78" s="136">
        <v>0</v>
      </c>
      <c r="S78" s="135">
        <f t="shared" si="33"/>
        <v>-1407.8696063970992</v>
      </c>
      <c r="T78" s="135">
        <f>S78+'Analysis (Nothing)'!D39</f>
        <v>3202.279528004784</v>
      </c>
      <c r="U78" s="135">
        <v>0</v>
      </c>
      <c r="V78" s="135">
        <f>W77*Configurations!$C$47</f>
        <v>382.41765910590499</v>
      </c>
      <c r="W78" s="135">
        <f t="shared" si="34"/>
        <v>892.30787124711173</v>
      </c>
      <c r="X78" s="135">
        <v>14</v>
      </c>
      <c r="Y78" s="135">
        <f>Z77*Configurations!$D$47</f>
        <v>10.653213349358698</v>
      </c>
      <c r="Z78" s="135">
        <f t="shared" si="35"/>
        <v>109.87892014422827</v>
      </c>
      <c r="AA78" s="136">
        <v>0</v>
      </c>
      <c r="AB78" s="135">
        <f>AC77*Configurations!$E$47</f>
        <v>268.63605923063159</v>
      </c>
      <c r="AC78" s="135">
        <f t="shared" si="36"/>
        <v>1074.5442369225264</v>
      </c>
      <c r="AD78" s="136">
        <f t="shared" si="37"/>
        <v>2540.5725963188888</v>
      </c>
      <c r="AE78" s="135">
        <f>AD78*Constants!$D$23</f>
        <v>254.05725963188888</v>
      </c>
      <c r="AF78" s="135">
        <f t="shared" si="38"/>
        <v>2948.2222683728951</v>
      </c>
      <c r="AG78" s="150">
        <f>AF78*(1+Constants!$D$20)^-H78</f>
        <v>1503.6763953973771</v>
      </c>
    </row>
    <row r="79" spans="8:33">
      <c r="H79" s="132">
        <v>35</v>
      </c>
      <c r="I79" s="139">
        <f>I78*(1-Constants!$D$11)</f>
        <v>0.83908861037057936</v>
      </c>
      <c r="J79" s="134">
        <f t="shared" si="25"/>
        <v>2885.5772605117932</v>
      </c>
      <c r="K79" s="134">
        <f t="shared" si="32"/>
        <v>2719.0631939549194</v>
      </c>
      <c r="L79" s="135">
        <f>IF(J79*'Grid Power'!K89&lt;0,0,J79*'Grid Power'!K52)</f>
        <v>1680.4498170741781</v>
      </c>
      <c r="M79" s="136">
        <v>0</v>
      </c>
      <c r="N79" s="136">
        <f>N78*(1+Constants!$D$20)</f>
        <v>99.994477633122827</v>
      </c>
      <c r="O79" s="136">
        <v>0</v>
      </c>
      <c r="P79" s="136">
        <v>0</v>
      </c>
      <c r="Q79" s="136">
        <f>K79*'Grid Power'!$L$18</f>
        <v>285.66366977912065</v>
      </c>
      <c r="R79" s="136">
        <v>0</v>
      </c>
      <c r="S79" s="135">
        <f t="shared" si="33"/>
        <v>-1494.7806249281803</v>
      </c>
      <c r="T79" s="135">
        <f>S79+'Analysis (Nothing)'!D40</f>
        <v>3338.8451769450103</v>
      </c>
      <c r="U79" s="135">
        <v>0</v>
      </c>
      <c r="V79" s="135">
        <f>W78*Configurations!$C$47</f>
        <v>267.6923613741335</v>
      </c>
      <c r="W79" s="135">
        <f t="shared" si="34"/>
        <v>624.61550987297824</v>
      </c>
      <c r="X79" s="135">
        <v>15</v>
      </c>
      <c r="Y79" s="135">
        <f>Z78*Configurations!$D$47</f>
        <v>10.987892014422828</v>
      </c>
      <c r="Z79" s="135">
        <f t="shared" si="35"/>
        <v>113.89102812980545</v>
      </c>
      <c r="AA79" s="136">
        <v>0</v>
      </c>
      <c r="AB79" s="135">
        <f>AC78*Configurations!$E$47</f>
        <v>214.90884738450529</v>
      </c>
      <c r="AC79" s="135">
        <f t="shared" si="36"/>
        <v>859.63538953802106</v>
      </c>
      <c r="AD79" s="136">
        <f t="shared" si="37"/>
        <v>2845.2560761719487</v>
      </c>
      <c r="AE79" s="135">
        <f>AD79*Constants!$D$23</f>
        <v>284.52560761719491</v>
      </c>
      <c r="AF79" s="135">
        <f t="shared" si="38"/>
        <v>3054.3195693278153</v>
      </c>
      <c r="AG79" s="150">
        <f>AF79*(1+Constants!$D$20)^-H79</f>
        <v>1527.2441246875844</v>
      </c>
    </row>
    <row r="80" spans="8:33">
      <c r="H80" s="132">
        <v>36</v>
      </c>
      <c r="I80" s="139">
        <f>I79*(1-Constants!$D$11)</f>
        <v>0.83489316731872643</v>
      </c>
      <c r="J80" s="134">
        <f t="shared" si="25"/>
        <v>2896.0055112605974</v>
      </c>
      <c r="K80" s="134">
        <f t="shared" si="32"/>
        <v>2705.4678779851447</v>
      </c>
      <c r="L80" s="135">
        <f>IF(J80*'Grid Power'!K90&lt;0,0,J80*'Grid Power'!K53)</f>
        <v>1768.3844446588121</v>
      </c>
      <c r="M80" s="136">
        <v>0</v>
      </c>
      <c r="N80" s="136">
        <f>N79*(1+Constants!$D$20)</f>
        <v>101.99436718578528</v>
      </c>
      <c r="O80" s="136">
        <v>0</v>
      </c>
      <c r="P80" s="136">
        <v>0</v>
      </c>
      <c r="Q80" s="136">
        <f>K80*'Grid Power'!$L$18</f>
        <v>284.23535143022508</v>
      </c>
      <c r="R80" s="136">
        <v>0</v>
      </c>
      <c r="S80" s="135">
        <f t="shared" si="33"/>
        <v>-1586.1434604143722</v>
      </c>
      <c r="T80" s="135">
        <f>S80+'Analysis (Nothing)'!D41</f>
        <v>3482.1002183267337</v>
      </c>
      <c r="U80" s="135">
        <v>0</v>
      </c>
      <c r="V80" s="135">
        <f>W79*Configurations!$C$47</f>
        <v>187.38465296189347</v>
      </c>
      <c r="W80" s="135">
        <f t="shared" si="34"/>
        <v>437.23085691108474</v>
      </c>
      <c r="X80" s="135">
        <v>16</v>
      </c>
      <c r="Y80" s="135">
        <f>Z79*Configurations!$D$47</f>
        <v>11.389102812980546</v>
      </c>
      <c r="Z80" s="135">
        <f t="shared" si="35"/>
        <v>118.5019253168249</v>
      </c>
      <c r="AA80" s="136">
        <v>0</v>
      </c>
      <c r="AB80" s="135">
        <f>AC79*Configurations!$E$47</f>
        <v>171.92707790760423</v>
      </c>
      <c r="AC80" s="135">
        <f t="shared" si="36"/>
        <v>687.7083116304168</v>
      </c>
      <c r="AD80" s="136">
        <f t="shared" si="37"/>
        <v>3111.3993846442554</v>
      </c>
      <c r="AE80" s="135">
        <f>AD80*Constants!$D$23</f>
        <v>311.13993846442554</v>
      </c>
      <c r="AF80" s="135">
        <f t="shared" si="38"/>
        <v>3170.9602798623082</v>
      </c>
      <c r="AG80" s="150">
        <f>AF80*(1+Constants!$D$20)^-H80</f>
        <v>1554.4781380359605</v>
      </c>
    </row>
    <row r="81" spans="8:33">
      <c r="H81" s="132">
        <v>37</v>
      </c>
      <c r="I81" s="139">
        <f>I80*(1-Constants!$D$11)</f>
        <v>0.83071870148213278</v>
      </c>
      <c r="J81" s="134">
        <f t="shared" si="25"/>
        <v>2906.3816207556583</v>
      </c>
      <c r="K81" s="134">
        <f t="shared" si="32"/>
        <v>2691.9405385952186</v>
      </c>
      <c r="L81" s="135">
        <f>IF(J81*'Grid Power'!K91&lt;0,0,J81*'Grid Power'!K54)</f>
        <v>1860.9735621271652</v>
      </c>
      <c r="M81" s="136">
        <v>0</v>
      </c>
      <c r="N81" s="136">
        <f>N80*(1+Constants!$D$20)</f>
        <v>104.03425452950098</v>
      </c>
      <c r="O81" s="136">
        <v>0</v>
      </c>
      <c r="P81" s="136">
        <v>0</v>
      </c>
      <c r="Q81" s="136">
        <f>K81*'Grid Power'!$L$18</f>
        <v>282.81417467307392</v>
      </c>
      <c r="R81" s="136">
        <v>0</v>
      </c>
      <c r="S81" s="135">
        <f t="shared" si="33"/>
        <v>-1682.1936419835922</v>
      </c>
      <c r="T81" s="135">
        <f>S81+'Analysis (Nothing)'!D42</f>
        <v>3632.3716904870844</v>
      </c>
      <c r="U81" s="135">
        <v>0</v>
      </c>
      <c r="V81" s="135">
        <f>W80*Configurations!$C$47</f>
        <v>131.16925707332541</v>
      </c>
      <c r="W81" s="135">
        <f t="shared" si="34"/>
        <v>306.06159983775933</v>
      </c>
      <c r="X81" s="135">
        <v>17</v>
      </c>
      <c r="Y81" s="135">
        <f>Z80*Configurations!$D$47</f>
        <v>11.85019253168249</v>
      </c>
      <c r="Z81" s="135">
        <f t="shared" si="35"/>
        <v>123.6517327851424</v>
      </c>
      <c r="AA81" s="136">
        <v>0</v>
      </c>
      <c r="AB81" s="135">
        <f>AC80*Configurations!$E$47</f>
        <v>137.54166232608335</v>
      </c>
      <c r="AC81" s="135">
        <f t="shared" si="36"/>
        <v>550.16664930433342</v>
      </c>
      <c r="AD81" s="136">
        <f t="shared" si="37"/>
        <v>3351.8105785559933</v>
      </c>
      <c r="AE81" s="135">
        <f>AD81*Constants!$D$23</f>
        <v>335.18105785559936</v>
      </c>
      <c r="AF81" s="135">
        <f t="shared" si="38"/>
        <v>3297.1906326314852</v>
      </c>
      <c r="AG81" s="150">
        <f>AF81*(1+Constants!$D$20)^-H81</f>
        <v>1584.6658620005317</v>
      </c>
    </row>
    <row r="82" spans="8:33">
      <c r="H82" s="132">
        <v>38</v>
      </c>
      <c r="I82" s="139">
        <f>I81*(1-Constants!$D$11)</f>
        <v>0.82656510797472216</v>
      </c>
      <c r="J82" s="134">
        <f t="shared" si="25"/>
        <v>2916.705849703244</v>
      </c>
      <c r="K82" s="134">
        <f t="shared" si="32"/>
        <v>2678.4808359022427</v>
      </c>
      <c r="L82" s="135">
        <f>IF(J82*'Grid Power'!K92&lt;0,0,J82*'Grid Power'!K55)</f>
        <v>1958.4643257071173</v>
      </c>
      <c r="M82" s="136">
        <v>0</v>
      </c>
      <c r="N82" s="136">
        <f>N81*(1+Constants!$D$20)</f>
        <v>106.11493962009101</v>
      </c>
      <c r="O82" s="136">
        <v>0</v>
      </c>
      <c r="P82" s="136">
        <v>0</v>
      </c>
      <c r="Q82" s="136">
        <f>K82*'Grid Power'!$L$18</f>
        <v>281.40010379970857</v>
      </c>
      <c r="R82" s="136">
        <v>0</v>
      </c>
      <c r="S82" s="135">
        <f t="shared" si="33"/>
        <v>-1783.1791615274997</v>
      </c>
      <c r="T82" s="135">
        <f>S82+'Analysis (Nothing)'!D43</f>
        <v>3790.0027359874584</v>
      </c>
      <c r="U82" s="135">
        <v>0</v>
      </c>
      <c r="V82" s="135">
        <f>W81*Configurations!$C$47</f>
        <v>91.818479951327802</v>
      </c>
      <c r="W82" s="135">
        <f t="shared" si="34"/>
        <v>214.24311988643154</v>
      </c>
      <c r="X82" s="135">
        <v>18</v>
      </c>
      <c r="Y82" s="135">
        <f>Z81*Configurations!$D$47</f>
        <v>12.365173278514241</v>
      </c>
      <c r="Z82" s="135">
        <f t="shared" si="35"/>
        <v>129.28655950662815</v>
      </c>
      <c r="AA82" s="136">
        <v>0</v>
      </c>
      <c r="AB82" s="135">
        <f>AC81*Configurations!$E$47</f>
        <v>110.03332986086669</v>
      </c>
      <c r="AC82" s="135">
        <f t="shared" si="36"/>
        <v>440.13331944346675</v>
      </c>
      <c r="AD82" s="136">
        <f t="shared" si="37"/>
        <v>3575.7857528967497</v>
      </c>
      <c r="AE82" s="135">
        <f>AD82*Constants!$D$23</f>
        <v>357.57857528967497</v>
      </c>
      <c r="AF82" s="135">
        <f t="shared" si="38"/>
        <v>3432.4241606977835</v>
      </c>
      <c r="AG82" s="150">
        <f>AF82*(1+Constants!$D$20)^-H82</f>
        <v>1617.3142881607578</v>
      </c>
    </row>
    <row r="83" spans="8:33">
      <c r="H83" s="132">
        <v>39</v>
      </c>
      <c r="I83" s="139">
        <f>I82*(1-Constants!$D$11)</f>
        <v>0.82243228243484856</v>
      </c>
      <c r="J83" s="134">
        <f t="shared" si="25"/>
        <v>2926.9784575060912</v>
      </c>
      <c r="K83" s="134">
        <f t="shared" si="32"/>
        <v>2665.0884317227315</v>
      </c>
      <c r="L83" s="135">
        <f>IF(J83*'Grid Power'!K93&lt;0,0,J83*'Grid Power'!K56)</f>
        <v>2061.1169968015024</v>
      </c>
      <c r="M83" s="136">
        <v>0</v>
      </c>
      <c r="N83" s="136">
        <f>N82*(1+Constants!$D$20)</f>
        <v>108.23723841249283</v>
      </c>
      <c r="O83" s="136">
        <v>0</v>
      </c>
      <c r="P83" s="136">
        <v>0</v>
      </c>
      <c r="Q83" s="136">
        <f>K83*'Grid Power'!$L$18</f>
        <v>279.99310328070999</v>
      </c>
      <c r="R83" s="136">
        <v>0</v>
      </c>
      <c r="S83" s="135">
        <f t="shared" si="33"/>
        <v>-1889.3611319332854</v>
      </c>
      <c r="T83" s="135">
        <f>S83+'Analysis (Nothing)'!D44</f>
        <v>3955.3533975711548</v>
      </c>
      <c r="U83" s="135">
        <v>0</v>
      </c>
      <c r="V83" s="135">
        <f>W82*Configurations!$C$47</f>
        <v>64.272935965929463</v>
      </c>
      <c r="W83" s="135">
        <f t="shared" si="34"/>
        <v>149.97018392050208</v>
      </c>
      <c r="X83" s="135">
        <v>19</v>
      </c>
      <c r="Y83" s="135">
        <f>Z82*Configurations!$D$47</f>
        <v>12.928655950662815</v>
      </c>
      <c r="Z83" s="135">
        <f t="shared" si="35"/>
        <v>135.35790355596532</v>
      </c>
      <c r="AA83" s="136">
        <v>0</v>
      </c>
      <c r="AB83" s="135">
        <f>AC82*Configurations!$E$47</f>
        <v>88.026663888693349</v>
      </c>
      <c r="AC83" s="135">
        <f t="shared" si="36"/>
        <v>352.1066555547734</v>
      </c>
      <c r="AD83" s="136">
        <f t="shared" si="37"/>
        <v>3790.1251417658696</v>
      </c>
      <c r="AE83" s="135">
        <f>AD83*Constants!$D$23</f>
        <v>379.01251417658699</v>
      </c>
      <c r="AF83" s="135">
        <f t="shared" si="38"/>
        <v>3576.3408833945678</v>
      </c>
      <c r="AG83" s="150">
        <f>AF83*(1+Constants!$D$20)^-H83</f>
        <v>1652.0843176749913</v>
      </c>
    </row>
    <row r="84" spans="8:33">
      <c r="H84" s="140">
        <v>40</v>
      </c>
      <c r="I84" s="141">
        <f>I83*(1-Constants!$D$11)</f>
        <v>0.81832012102267426</v>
      </c>
      <c r="J84" s="142">
        <f t="shared" si="25"/>
        <v>2937.1997022699247</v>
      </c>
      <c r="K84" s="142">
        <f t="shared" si="32"/>
        <v>2651.762989564118</v>
      </c>
      <c r="L84" s="143">
        <f>IF(J84*'Grid Power'!K94&lt;0,0,J84*'Grid Power'!K57)</f>
        <v>2169.2056345467663</v>
      </c>
      <c r="M84" s="144">
        <v>0</v>
      </c>
      <c r="N84" s="144">
        <f>N83*(1+Constants!$D$20)</f>
        <v>110.40198318074269</v>
      </c>
      <c r="O84" s="144">
        <v>0</v>
      </c>
      <c r="P84" s="144">
        <v>0</v>
      </c>
      <c r="Q84" s="144">
        <f>K84*'Grid Power'!$L$18</f>
        <v>278.5931377643065</v>
      </c>
      <c r="R84" s="144">
        <f t="shared" ref="R65:R87" si="39">W84+Z84+AC84</f>
        <v>528.4865663885389</v>
      </c>
      <c r="S84" s="143">
        <f t="shared" si="33"/>
        <v>-1472.5279135746637</v>
      </c>
      <c r="T84" s="143">
        <f>S84+'Analysis (Nothing)'!D45</f>
        <v>4657.2880199654792</v>
      </c>
      <c r="U84" s="143">
        <v>0</v>
      </c>
      <c r="V84" s="143">
        <f>W83*Configurations!$C$47</f>
        <v>44.991055176150624</v>
      </c>
      <c r="W84" s="143">
        <f t="shared" si="34"/>
        <v>104.97912874435146</v>
      </c>
      <c r="X84" s="143">
        <v>20</v>
      </c>
      <c r="Y84" s="143">
        <f>Z83*Configurations!$D$47</f>
        <v>13.535790355596532</v>
      </c>
      <c r="Z84" s="143">
        <f t="shared" si="35"/>
        <v>141.82211320036879</v>
      </c>
      <c r="AA84" s="144">
        <v>0</v>
      </c>
      <c r="AB84" s="143">
        <f>AC83*Configurations!$E$47</f>
        <v>70.421331110954682</v>
      </c>
      <c r="AC84" s="143">
        <f t="shared" si="36"/>
        <v>281.68532444381873</v>
      </c>
      <c r="AD84" s="144">
        <f t="shared" si="37"/>
        <v>4528.3398433227776</v>
      </c>
      <c r="AE84" s="143">
        <f>AD84*Constants!$D$23</f>
        <v>452.83398433227779</v>
      </c>
      <c r="AF84" s="143">
        <f t="shared" si="38"/>
        <v>4204.4540356332018</v>
      </c>
      <c r="AG84" s="153">
        <f>AF84*(1+Constants!$D$20)^-H84</f>
        <v>1904.1569338251636</v>
      </c>
    </row>
    <row r="85" spans="8:33">
      <c r="H85" s="147"/>
      <c r="I85" s="139"/>
      <c r="J85" s="134"/>
      <c r="K85" s="134"/>
      <c r="L85" s="135"/>
      <c r="M85" s="136"/>
      <c r="N85" s="136"/>
      <c r="O85" s="136"/>
      <c r="P85" s="136"/>
      <c r="Q85" s="136"/>
      <c r="R85" s="136"/>
      <c r="S85" s="135"/>
      <c r="T85" s="135"/>
      <c r="U85" s="135"/>
      <c r="V85" s="135"/>
      <c r="W85" s="135"/>
      <c r="X85" s="135"/>
      <c r="Y85" s="135"/>
      <c r="Z85" s="135"/>
      <c r="AA85" s="136"/>
      <c r="AB85" s="135"/>
      <c r="AC85" s="135"/>
      <c r="AD85" s="136"/>
      <c r="AE85" s="135"/>
      <c r="AF85" s="135"/>
      <c r="AG85" s="149"/>
    </row>
    <row r="86" spans="8:33">
      <c r="H86" s="120" t="s">
        <v>218</v>
      </c>
      <c r="I86" s="120"/>
      <c r="J86" s="120"/>
      <c r="K86" s="120"/>
      <c r="L86" s="120"/>
      <c r="M86" s="120"/>
      <c r="N86" s="120"/>
      <c r="O86" s="136"/>
      <c r="P86" s="136"/>
      <c r="Q86" s="136"/>
      <c r="R86" s="136"/>
      <c r="S86" s="135"/>
      <c r="T86" s="135"/>
      <c r="U86" s="135"/>
      <c r="V86" s="135"/>
      <c r="W86" s="135"/>
      <c r="X86" s="135"/>
      <c r="Y86" s="135"/>
      <c r="Z86" s="135"/>
      <c r="AA86" s="136"/>
      <c r="AB86" s="135"/>
      <c r="AC86" s="135"/>
      <c r="AD86" s="136"/>
      <c r="AE86" s="135"/>
      <c r="AF86" s="135"/>
      <c r="AG86" s="149"/>
    </row>
    <row r="87" spans="8:33">
      <c r="H87" s="155" t="s">
        <v>186</v>
      </c>
      <c r="I87" s="155"/>
      <c r="J87" s="155"/>
      <c r="K87" s="155"/>
      <c r="L87" s="155"/>
      <c r="M87" s="155" t="s">
        <v>185</v>
      </c>
      <c r="N87" s="155"/>
      <c r="O87" s="136"/>
      <c r="P87" s="136"/>
      <c r="Q87" s="136"/>
      <c r="R87" s="136"/>
      <c r="S87" s="135"/>
      <c r="T87" s="135"/>
      <c r="U87" s="135"/>
      <c r="V87" s="135"/>
      <c r="W87" s="135"/>
      <c r="X87" s="135"/>
      <c r="Y87" s="135"/>
      <c r="Z87" s="135"/>
      <c r="AA87" s="136"/>
      <c r="AB87" s="135"/>
      <c r="AC87" s="135"/>
      <c r="AD87" s="136"/>
      <c r="AE87" s="135"/>
      <c r="AF87" s="135"/>
      <c r="AG87" s="149"/>
    </row>
    <row r="88" spans="8:33">
      <c r="H88" s="155" t="str">
        <f>H4</f>
        <v>Year</v>
      </c>
      <c r="I88" s="156" t="str">
        <f>I5</f>
        <v>Solar efficiency</v>
      </c>
      <c r="J88" s="155" t="s">
        <v>182</v>
      </c>
      <c r="K88" s="124" t="s">
        <v>183</v>
      </c>
      <c r="L88" s="124" t="s">
        <v>184</v>
      </c>
      <c r="M88" s="155" t="s">
        <v>187</v>
      </c>
      <c r="N88" s="124" t="s">
        <v>181</v>
      </c>
    </row>
    <row r="89" spans="8:33">
      <c r="H89" s="155"/>
      <c r="I89" s="156"/>
      <c r="J89" s="155"/>
      <c r="K89" s="124" t="s">
        <v>62</v>
      </c>
      <c r="L89" s="124" t="s">
        <v>59</v>
      </c>
      <c r="M89" s="155"/>
      <c r="N89" s="124" t="s">
        <v>59</v>
      </c>
    </row>
    <row r="90" spans="8:33">
      <c r="H90" s="132">
        <v>0</v>
      </c>
      <c r="I90" s="133">
        <v>1</v>
      </c>
      <c r="J90" s="133">
        <f>1-I90</f>
        <v>0</v>
      </c>
      <c r="K90" s="157">
        <f>J90*$C$18</f>
        <v>0</v>
      </c>
      <c r="L90" s="135">
        <f>K90*'Grid Power'!K17</f>
        <v>0</v>
      </c>
      <c r="M90" s="147">
        <f>H90</f>
        <v>0</v>
      </c>
      <c r="N90" s="158">
        <v>0</v>
      </c>
    </row>
    <row r="91" spans="8:33">
      <c r="H91" s="132">
        <v>1</v>
      </c>
      <c r="I91" s="139">
        <f>I90*(1-Constants!$D$11)</f>
        <v>0.995</v>
      </c>
      <c r="J91" s="133">
        <f t="shared" ref="J91:J130" si="40">1-I91</f>
        <v>5.0000000000000044E-3</v>
      </c>
      <c r="K91" s="157">
        <f t="shared" ref="K91:K130" si="41">J91*$C$18</f>
        <v>45.274610928508743</v>
      </c>
      <c r="L91" s="135">
        <f>K91*'Grid Power'!K18</f>
        <v>5.5144767679418027</v>
      </c>
      <c r="M91" s="147">
        <f>H91</f>
        <v>1</v>
      </c>
      <c r="N91" s="158">
        <f>PMT(Constants!$D$21,M91,-NPV(Constants!$D$21,$J$91:L91))+Configurations!$C$34/M91</f>
        <v>14919.158856182776</v>
      </c>
      <c r="O91" s="159">
        <f>MIN($N$91:$N$130)</f>
        <v>647.23148019475161</v>
      </c>
    </row>
    <row r="92" spans="8:33">
      <c r="H92" s="132">
        <v>2</v>
      </c>
      <c r="I92" s="139">
        <f>I91*(1-Constants!$D$11)</f>
        <v>0.99002500000000004</v>
      </c>
      <c r="J92" s="133">
        <f t="shared" si="40"/>
        <v>9.9749999999999561E-3</v>
      </c>
      <c r="K92" s="157">
        <f t="shared" si="41"/>
        <v>90.322848802374466</v>
      </c>
      <c r="L92" s="135">
        <f>K92*'Grid Power'!K19</f>
        <v>11.500674725041918</v>
      </c>
      <c r="M92" s="147">
        <f t="shared" ref="M92:M130" si="42">H92</f>
        <v>2</v>
      </c>
      <c r="N92" s="158">
        <f>PMT(Constants!$D$21,M92,-NPV(Constants!$D$21,$J$91:L92))+Configurations!$C$34/M92</f>
        <v>7505.6992248908628</v>
      </c>
      <c r="O92" s="159">
        <f t="shared" ref="O92:O130" si="43">MIN($N$91:$N$130)</f>
        <v>647.23148019475161</v>
      </c>
    </row>
    <row r="93" spans="8:33">
      <c r="H93" s="132">
        <v>3</v>
      </c>
      <c r="I93" s="139">
        <f>I92*(1-Constants!$D$11)</f>
        <v>0.98507487500000002</v>
      </c>
      <c r="J93" s="133">
        <f t="shared" si="40"/>
        <v>1.4925124999999984E-2</v>
      </c>
      <c r="K93" s="157">
        <f t="shared" si="41"/>
        <v>135.14584548687154</v>
      </c>
      <c r="L93" s="135">
        <f>K93*'Grid Power'!K20</f>
        <v>17.991057163804584</v>
      </c>
      <c r="M93" s="147">
        <f t="shared" si="42"/>
        <v>3</v>
      </c>
      <c r="N93" s="158">
        <f>PMT(Constants!$D$21,M93,-NPV(Constants!$D$21,$J$91:L93))+Configurations!$C$34/M93</f>
        <v>5047.0880619658801</v>
      </c>
      <c r="O93" s="159">
        <f t="shared" si="43"/>
        <v>647.23148019475161</v>
      </c>
    </row>
    <row r="94" spans="8:33">
      <c r="H94" s="132">
        <v>4</v>
      </c>
      <c r="I94" s="139">
        <f>I93*(1-Constants!$D$11)</f>
        <v>0.98014950062500006</v>
      </c>
      <c r="J94" s="133">
        <f t="shared" si="40"/>
        <v>1.9850499374999941E-2</v>
      </c>
      <c r="K94" s="157">
        <f t="shared" si="41"/>
        <v>179.7447271879455</v>
      </c>
      <c r="L94" s="135">
        <f>K94*'Grid Power'!K21</f>
        <v>25.020138486771764</v>
      </c>
      <c r="M94" s="147">
        <f t="shared" si="42"/>
        <v>4</v>
      </c>
      <c r="N94" s="158">
        <f>PMT(Constants!$D$21,M94,-NPV(Constants!$D$21,$J$91:L94))+Configurations!$C$34/M94</f>
        <v>3825.9668064776042</v>
      </c>
      <c r="O94" s="159">
        <f t="shared" si="43"/>
        <v>647.23148019475161</v>
      </c>
    </row>
    <row r="95" spans="8:33">
      <c r="H95" s="132">
        <v>5</v>
      </c>
      <c r="I95" s="139">
        <f>I94*(1-Constants!$D$11)</f>
        <v>0.97524875312187509</v>
      </c>
      <c r="J95" s="133">
        <f t="shared" si="40"/>
        <v>2.4751246878124911E-2</v>
      </c>
      <c r="K95" s="157">
        <f t="shared" si="41"/>
        <v>224.12061448051418</v>
      </c>
      <c r="L95" s="135">
        <f>K95*'Grid Power'!K22</f>
        <v>32.624607445659485</v>
      </c>
      <c r="M95" s="147">
        <f t="shared" si="42"/>
        <v>5</v>
      </c>
      <c r="N95" s="158">
        <f>PMT(Constants!$D$21,M95,-NPV(Constants!$D$21,$J$91:L95))+Configurations!$C$34/M95</f>
        <v>3098.9663454604756</v>
      </c>
      <c r="O95" s="159">
        <f t="shared" si="43"/>
        <v>647.23148019475161</v>
      </c>
    </row>
    <row r="96" spans="8:33">
      <c r="H96" s="132">
        <v>6</v>
      </c>
      <c r="I96" s="139">
        <f>I95*(1-Constants!$D$11)</f>
        <v>0.97037250935626573</v>
      </c>
      <c r="J96" s="133">
        <f t="shared" si="40"/>
        <v>2.9627490643734267E-2</v>
      </c>
      <c r="K96" s="157">
        <f t="shared" si="41"/>
        <v>268.27462233662015</v>
      </c>
      <c r="L96" s="135">
        <f>K96*'Grid Power'!K23</f>
        <v>40.84345753500407</v>
      </c>
      <c r="M96" s="147">
        <f t="shared" si="42"/>
        <v>6</v>
      </c>
      <c r="N96" s="158">
        <f>PMT(Constants!$D$21,M96,-NPV(Constants!$D$21,$J$91:L96))+Configurations!$C$34/M96</f>
        <v>2618.3744462280342</v>
      </c>
      <c r="O96" s="159">
        <f t="shared" si="43"/>
        <v>647.23148019475161</v>
      </c>
    </row>
    <row r="97" spans="8:15">
      <c r="H97" s="132">
        <v>7</v>
      </c>
      <c r="I97" s="139">
        <f>I96*(1-Constants!$D$11)</f>
        <v>0.96552064680948435</v>
      </c>
      <c r="J97" s="133">
        <f t="shared" si="40"/>
        <v>3.4479353190515649E-2</v>
      </c>
      <c r="K97" s="157">
        <f t="shared" si="41"/>
        <v>312.20786015344623</v>
      </c>
      <c r="L97" s="135">
        <f>K97*'Grid Power'!K24</f>
        <v>49.718124945425373</v>
      </c>
      <c r="M97" s="147">
        <f t="shared" si="42"/>
        <v>7</v>
      </c>
      <c r="N97" s="158">
        <f>PMT(Constants!$D$21,M97,-NPV(Constants!$D$21,$J$91:L97))+Configurations!$C$34/M97</f>
        <v>2278.0888485963205</v>
      </c>
      <c r="O97" s="159">
        <f t="shared" si="43"/>
        <v>647.23148019475161</v>
      </c>
    </row>
    <row r="98" spans="8:15">
      <c r="H98" s="132">
        <v>8</v>
      </c>
      <c r="I98" s="139">
        <f>I97*(1-Constants!$D$11)</f>
        <v>0.96069304357543694</v>
      </c>
      <c r="J98" s="133">
        <f t="shared" si="40"/>
        <v>3.9306956424563055E-2</v>
      </c>
      <c r="K98" s="157">
        <f t="shared" si="41"/>
        <v>355.92143178118755</v>
      </c>
      <c r="L98" s="135">
        <f>K98*'Grid Power'!K25</f>
        <v>59.292634504123832</v>
      </c>
      <c r="M98" s="147">
        <f t="shared" si="42"/>
        <v>8</v>
      </c>
      <c r="N98" s="158">
        <f>PMT(Constants!$D$21,M98,-NPV(Constants!$D$21,$J$91:L98))+Configurations!$C$34/M98</f>
        <v>2025.1060208100698</v>
      </c>
      <c r="O98" s="159">
        <f t="shared" si="43"/>
        <v>647.23148019475161</v>
      </c>
    </row>
    <row r="99" spans="8:15">
      <c r="H99" s="132">
        <v>9</v>
      </c>
      <c r="I99" s="139">
        <f>I98*(1-Constants!$D$11)</f>
        <v>0.95588957835755972</v>
      </c>
      <c r="J99" s="133">
        <f t="shared" si="40"/>
        <v>4.4110421642440278E-2</v>
      </c>
      <c r="K99" s="157">
        <f t="shared" si="41"/>
        <v>399.41643555079065</v>
      </c>
      <c r="L99" s="135">
        <f>K99*'Grid Power'!K26</f>
        <v>69.613754053975853</v>
      </c>
      <c r="M99" s="147">
        <f t="shared" si="42"/>
        <v>9</v>
      </c>
      <c r="N99" s="158">
        <f>PMT(Constants!$D$21,M99,-NPV(Constants!$D$21,$J$91:L99))+Configurations!$C$34/M99</f>
        <v>1830.017804927046</v>
      </c>
      <c r="O99" s="159">
        <f t="shared" si="43"/>
        <v>647.23148019475161</v>
      </c>
    </row>
    <row r="100" spans="8:15">
      <c r="H100" s="132">
        <v>10</v>
      </c>
      <c r="I100" s="139">
        <f>I99*(1-Constants!$D$11)</f>
        <v>0.95111013046577186</v>
      </c>
      <c r="J100" s="133">
        <f t="shared" si="40"/>
        <v>4.8889869534228136E-2</v>
      </c>
      <c r="K100" s="157">
        <f t="shared" si="41"/>
        <v>442.69396430154598</v>
      </c>
      <c r="L100" s="135">
        <f>K100*'Grid Power'!K27</f>
        <v>80.731157747632963</v>
      </c>
      <c r="M100" s="147">
        <f t="shared" si="42"/>
        <v>10</v>
      </c>
      <c r="N100" s="158">
        <f>PMT(Constants!$D$21,M100,-NPV(Constants!$D$21,$J$91:L100))+Configurations!$C$34/M100</f>
        <v>1675.2103993950909</v>
      </c>
      <c r="O100" s="159">
        <f t="shared" si="43"/>
        <v>647.23148019475161</v>
      </c>
    </row>
    <row r="101" spans="8:15">
      <c r="H101" s="132">
        <v>11</v>
      </c>
      <c r="I101" s="139">
        <f>I100*(1-Constants!$D$11)</f>
        <v>0.94635457981344295</v>
      </c>
      <c r="J101" s="133">
        <f t="shared" si="40"/>
        <v>5.3645420186557047E-2</v>
      </c>
      <c r="K101" s="157">
        <f t="shared" si="41"/>
        <v>485.75510540854737</v>
      </c>
      <c r="L101" s="135">
        <f>K101*'Grid Power'!K28</f>
        <v>92.697598759450514</v>
      </c>
      <c r="M101" s="147">
        <f t="shared" si="42"/>
        <v>11</v>
      </c>
      <c r="N101" s="158">
        <f>PMT(Constants!$D$21,M101,-NPV(Constants!$D$21,$J$91:L101))+Configurations!$C$34/M101</f>
        <v>1549.5005303703213</v>
      </c>
      <c r="O101" s="159">
        <f t="shared" si="43"/>
        <v>647.23148019475161</v>
      </c>
    </row>
    <row r="102" spans="8:15">
      <c r="H102" s="132">
        <v>12</v>
      </c>
      <c r="I102" s="139">
        <f>I101*(1-Constants!$D$11)</f>
        <v>0.94162280691437572</v>
      </c>
      <c r="J102" s="133">
        <f t="shared" si="40"/>
        <v>5.8377193085624279E-2</v>
      </c>
      <c r="K102" s="157">
        <f t="shared" si="41"/>
        <v>528.60094081001353</v>
      </c>
      <c r="L102" s="135">
        <f>K102*'Grid Power'!K29</f>
        <v>105.56909194592748</v>
      </c>
      <c r="M102" s="147">
        <f t="shared" si="42"/>
        <v>12</v>
      </c>
      <c r="N102" s="158">
        <f>PMT(Constants!$D$21,M102,-NPV(Constants!$D$21,$J$91:L102))+Configurations!$C$34/M102</f>
        <v>1445.4537641238985</v>
      </c>
      <c r="O102" s="159">
        <f t="shared" si="43"/>
        <v>647.23148019475161</v>
      </c>
    </row>
    <row r="103" spans="8:15">
      <c r="H103" s="132">
        <v>13</v>
      </c>
      <c r="I103" s="139">
        <f>I102*(1-Constants!$D$11)</f>
        <v>0.93691469287980389</v>
      </c>
      <c r="J103" s="133">
        <f t="shared" si="40"/>
        <v>6.308530712019611E-2</v>
      </c>
      <c r="K103" s="157">
        <f t="shared" si="41"/>
        <v>571.23254703447174</v>
      </c>
      <c r="L103" s="135">
        <f>K103*'Grid Power'!K30</f>
        <v>119.40510701472236</v>
      </c>
      <c r="M103" s="147">
        <f t="shared" si="42"/>
        <v>13</v>
      </c>
      <c r="N103" s="158">
        <f>PMT(Constants!$D$21,M103,-NPV(Constants!$D$21,$J$91:L103))+Configurations!$C$34/M103</f>
        <v>1357.9407129987981</v>
      </c>
      <c r="O103" s="159">
        <f t="shared" si="43"/>
        <v>647.23148019475161</v>
      </c>
    </row>
    <row r="104" spans="8:15">
      <c r="H104" s="132">
        <v>14</v>
      </c>
      <c r="I104" s="139">
        <f>I103*(1-Constants!$D$11)</f>
        <v>0.9322301194154049</v>
      </c>
      <c r="J104" s="133">
        <f t="shared" si="40"/>
        <v>6.7769880584595099E-2</v>
      </c>
      <c r="K104" s="157">
        <f t="shared" si="41"/>
        <v>613.65099522780781</v>
      </c>
      <c r="L104" s="135">
        <f>K104*'Grid Power'!K31</f>
        <v>134.26877279329847</v>
      </c>
      <c r="M104" s="147">
        <f t="shared" si="42"/>
        <v>14</v>
      </c>
      <c r="N104" s="158">
        <f>PMT(Constants!$D$21,M104,-NPV(Constants!$D$21,$J$91:L104))+Configurations!$C$34/M104</f>
        <v>1283.3121730199184</v>
      </c>
      <c r="O104" s="159">
        <f t="shared" si="43"/>
        <v>647.23148019475161</v>
      </c>
    </row>
    <row r="105" spans="8:15">
      <c r="H105" s="132">
        <v>15</v>
      </c>
      <c r="I105" s="139">
        <f>I104*(1-Constants!$D$11)</f>
        <v>0.92756896881832784</v>
      </c>
      <c r="J105" s="133">
        <f t="shared" si="40"/>
        <v>7.2431031181672156E-2</v>
      </c>
      <c r="K105" s="157">
        <f t="shared" si="41"/>
        <v>655.85735118017772</v>
      </c>
      <c r="L105" s="135">
        <f>K105*'Grid Power'!K32</f>
        <v>150.22709322092746</v>
      </c>
      <c r="M105" s="147">
        <f t="shared" si="42"/>
        <v>15</v>
      </c>
      <c r="N105" s="158">
        <f>PMT(Constants!$D$21,M105,-NPV(Constants!$D$21,$J$91:L105))+Configurations!$C$34/M105</f>
        <v>1218.9043454200632</v>
      </c>
      <c r="O105" s="159">
        <f t="shared" si="43"/>
        <v>647.23148019475161</v>
      </c>
    </row>
    <row r="106" spans="8:15">
      <c r="H106" s="132">
        <v>16</v>
      </c>
      <c r="I106" s="139">
        <f>I105*(1-Constants!$D$11)</f>
        <v>0.92293112397423616</v>
      </c>
      <c r="J106" s="133">
        <f t="shared" si="40"/>
        <v>7.7068876025763844E-2</v>
      </c>
      <c r="K106" s="157">
        <f t="shared" si="41"/>
        <v>697.85267535278604</v>
      </c>
      <c r="L106" s="135">
        <f>K106*'Grid Power'!K33</f>
        <v>167.35117572224385</v>
      </c>
      <c r="M106" s="147">
        <f t="shared" si="42"/>
        <v>16</v>
      </c>
      <c r="N106" s="158">
        <f>PMT(Constants!$D$21,M106,-NPV(Constants!$D$21,$J$91:L106))+Configurations!$C$34/M106</f>
        <v>1162.7297192045271</v>
      </c>
      <c r="O106" s="159">
        <f t="shared" si="43"/>
        <v>647.23148019475161</v>
      </c>
    </row>
    <row r="107" spans="8:15">
      <c r="H107" s="132">
        <v>17</v>
      </c>
      <c r="I107" s="139">
        <f>I106*(1-Constants!$D$11)</f>
        <v>0.91831646835436498</v>
      </c>
      <c r="J107" s="133">
        <f t="shared" si="40"/>
        <v>8.1683531645635021E-2</v>
      </c>
      <c r="K107" s="157">
        <f t="shared" si="41"/>
        <v>739.63802290453077</v>
      </c>
      <c r="L107" s="135">
        <f>K107*'Grid Power'!K34</f>
        <v>185.71647265688392</v>
      </c>
      <c r="M107" s="147">
        <f t="shared" si="42"/>
        <v>17</v>
      </c>
      <c r="N107" s="158">
        <f>PMT(Constants!$D$21,M107,-NPV(Constants!$D$21,$J$91:L107))+Configurations!$C$34/M107</f>
        <v>1113.2771564436325</v>
      </c>
      <c r="O107" s="159">
        <f t="shared" si="43"/>
        <v>647.23148019475161</v>
      </c>
    </row>
    <row r="108" spans="8:15">
      <c r="H108" s="132">
        <v>18</v>
      </c>
      <c r="I108" s="139">
        <f>I107*(1-Constants!$D$11)</f>
        <v>0.91372488601259316</v>
      </c>
      <c r="J108" s="133">
        <f t="shared" si="40"/>
        <v>8.6275113987406837E-2</v>
      </c>
      <c r="K108" s="157">
        <f t="shared" si="41"/>
        <v>781.21444371851669</v>
      </c>
      <c r="L108" s="135">
        <f>K108*'Grid Power'!K35</f>
        <v>205.40303657806143</v>
      </c>
      <c r="M108" s="147">
        <f t="shared" si="42"/>
        <v>18</v>
      </c>
      <c r="N108" s="158">
        <f>PMT(Constants!$D$21,M108,-NPV(Constants!$D$21,$J$91:L108))+Configurations!$C$34/M108</f>
        <v>1069.3787042018309</v>
      </c>
      <c r="O108" s="159">
        <f t="shared" si="43"/>
        <v>647.23148019475161</v>
      </c>
    </row>
    <row r="109" spans="8:15">
      <c r="H109" s="132">
        <v>19</v>
      </c>
      <c r="I109" s="139">
        <f>I108*(1-Constants!$D$11)</f>
        <v>0.90915626158253016</v>
      </c>
      <c r="J109" s="133">
        <f t="shared" si="40"/>
        <v>9.0843738417469844E-2</v>
      </c>
      <c r="K109" s="157">
        <f t="shared" si="41"/>
        <v>822.58298242843318</v>
      </c>
      <c r="L109" s="135">
        <f>K109*'Grid Power'!K36</f>
        <v>226.49579007334222</v>
      </c>
      <c r="M109" s="147">
        <f t="shared" si="42"/>
        <v>19</v>
      </c>
      <c r="N109" s="158">
        <f>PMT(Constants!$D$21,M109,-NPV(Constants!$D$21,$J$91:L109))+Configurations!$C$34/M109</f>
        <v>1030.1185423344984</v>
      </c>
      <c r="O109" s="159">
        <f t="shared" si="43"/>
        <v>647.23148019475161</v>
      </c>
    </row>
    <row r="110" spans="8:15">
      <c r="H110" s="132">
        <v>20</v>
      </c>
      <c r="I110" s="139">
        <f>I109*(1-Constants!$D$11)</f>
        <v>0.90461048027461755</v>
      </c>
      <c r="J110" s="133">
        <f t="shared" si="40"/>
        <v>9.5389519725382454E-2</v>
      </c>
      <c r="K110" s="157">
        <f t="shared" si="41"/>
        <v>863.74467844479932</v>
      </c>
      <c r="L110" s="135">
        <f>K110*'Grid Power'!K37</f>
        <v>249.0848110034882</v>
      </c>
      <c r="M110" s="147">
        <f t="shared" si="42"/>
        <v>20</v>
      </c>
      <c r="N110" s="158">
        <f>PMT(Constants!$D$21,M110,-NPV(Constants!$D$21,$J$91:L110))+Configurations!$C$34/M110</f>
        <v>994.76931326178465</v>
      </c>
      <c r="O110" s="159">
        <f t="shared" si="43"/>
        <v>647.23148019475161</v>
      </c>
    </row>
    <row r="111" spans="8:15">
      <c r="H111" s="132">
        <v>21</v>
      </c>
      <c r="I111" s="139">
        <f>I110*(1-Constants!$D$11)</f>
        <v>0.90008742787324447</v>
      </c>
      <c r="J111" s="133">
        <f t="shared" si="40"/>
        <v>9.9912572126755528E-2</v>
      </c>
      <c r="K111" s="157">
        <f t="shared" si="41"/>
        <v>904.70056598108397</v>
      </c>
      <c r="L111" s="135">
        <f>K111*'Grid Power'!K38</f>
        <v>273.26563400016988</v>
      </c>
      <c r="M111" s="147">
        <f t="shared" si="42"/>
        <v>21</v>
      </c>
      <c r="N111" s="158">
        <f>PMT(Constants!$D$21,M111,-NPV(Constants!$D$21,$J$91:L111))+Configurations!$C$34/M111</f>
        <v>962.74670085894149</v>
      </c>
      <c r="O111" s="159">
        <f t="shared" si="43"/>
        <v>647.23148019475161</v>
      </c>
    </row>
    <row r="112" spans="8:15">
      <c r="H112" s="132">
        <v>22</v>
      </c>
      <c r="I112" s="139">
        <f>I111*(1-Constants!$D$11)</f>
        <v>0.89558699073387826</v>
      </c>
      <c r="J112" s="133">
        <f t="shared" si="40"/>
        <v>0.10441300926612174</v>
      </c>
      <c r="K112" s="157">
        <f t="shared" si="41"/>
        <v>945.45167407968711</v>
      </c>
      <c r="L112" s="135">
        <f>K112*'Grid Power'!K39</f>
        <v>299.13956913071127</v>
      </c>
      <c r="M112" s="147">
        <f t="shared" si="42"/>
        <v>22</v>
      </c>
      <c r="N112" s="158">
        <f>PMT(Constants!$D$21,M112,-NPV(Constants!$D$21,$J$91:L112))+Configurations!$C$34/M112</f>
        <v>933.57644708225666</v>
      </c>
      <c r="O112" s="159">
        <f t="shared" si="43"/>
        <v>647.23148019475161</v>
      </c>
    </row>
    <row r="113" spans="8:15">
      <c r="H113" s="132">
        <v>23</v>
      </c>
      <c r="I113" s="139">
        <f>I112*(1-Constants!$D$11)</f>
        <v>0.89110905578020883</v>
      </c>
      <c r="J113" s="133">
        <f t="shared" si="40"/>
        <v>0.10889094421979117</v>
      </c>
      <c r="K113" s="157">
        <f t="shared" si="41"/>
        <v>985.99902663779778</v>
      </c>
      <c r="L113" s="135">
        <f>K113*'Grid Power'!K40</f>
        <v>326.81403868798441</v>
      </c>
      <c r="M113" s="147">
        <f t="shared" si="42"/>
        <v>23</v>
      </c>
      <c r="N113" s="158">
        <f>PMT(Constants!$D$21,M113,-NPV(Constants!$D$21,$J$91:L113))+Configurations!$C$34/M113</f>
        <v>906.87001668636935</v>
      </c>
      <c r="O113" s="159">
        <f t="shared" si="43"/>
        <v>647.23148019475161</v>
      </c>
    </row>
    <row r="114" spans="8:15">
      <c r="H114" s="132">
        <v>24</v>
      </c>
      <c r="I114" s="139">
        <f>I113*(1-Constants!$D$11)</f>
        <v>0.88665351050130781</v>
      </c>
      <c r="J114" s="133">
        <f t="shared" si="40"/>
        <v>0.11334648949869219</v>
      </c>
      <c r="K114" s="157">
        <f t="shared" si="41"/>
        <v>1026.3436424331173</v>
      </c>
      <c r="L114" s="135">
        <f>K114*'Grid Power'!K41</f>
        <v>356.40293311622179</v>
      </c>
      <c r="M114" s="147">
        <f t="shared" si="42"/>
        <v>24</v>
      </c>
      <c r="N114" s="158">
        <f>PMT(Constants!$D$21,M114,-NPV(Constants!$D$21,$J$91:L114))+Configurations!$C$34/M114</f>
        <v>882.30638394444759</v>
      </c>
      <c r="O114" s="159">
        <f t="shared" si="43"/>
        <v>647.23148019475161</v>
      </c>
    </row>
    <row r="115" spans="8:15">
      <c r="H115" s="132">
        <v>25</v>
      </c>
      <c r="I115" s="139">
        <f>I114*(1-Constants!$D$11)</f>
        <v>0.8822202429488013</v>
      </c>
      <c r="J115" s="133">
        <f t="shared" si="40"/>
        <v>0.1177797570511987</v>
      </c>
      <c r="K115" s="157">
        <f t="shared" si="41"/>
        <v>1066.48653514946</v>
      </c>
      <c r="L115" s="135">
        <f>K115*'Grid Power'!K42</f>
        <v>388.02698713904016</v>
      </c>
      <c r="M115" s="147">
        <f t="shared" si="42"/>
        <v>25</v>
      </c>
      <c r="N115" s="158">
        <f>PMT(Constants!$D$21,M115,-NPV(Constants!$D$21,$J$91:L115))+Configurations!$C$34/M115</f>
        <v>859.61822393204579</v>
      </c>
      <c r="O115" s="159">
        <f t="shared" si="43"/>
        <v>647.23148019475161</v>
      </c>
    </row>
    <row r="116" spans="8:15">
      <c r="H116" s="132">
        <v>26</v>
      </c>
      <c r="I116" s="139">
        <f>I115*(1-Constants!$D$11)</f>
        <v>0.87780914173405733</v>
      </c>
      <c r="J116" s="133">
        <f t="shared" si="40"/>
        <v>0.12219085826594267</v>
      </c>
      <c r="K116" s="157">
        <f t="shared" si="41"/>
        <v>1106.4287134022211</v>
      </c>
      <c r="L116" s="135">
        <f>K116*'Grid Power'!K43</f>
        <v>421.81417721449554</v>
      </c>
      <c r="M116" s="147">
        <f t="shared" si="42"/>
        <v>26</v>
      </c>
      <c r="N116" s="158">
        <f>PMT(Constants!$D$21,M116,-NPV(Constants!$D$21,$J$91:L116))+Configurations!$C$34/M116</f>
        <v>838.58131964440031</v>
      </c>
      <c r="O116" s="159">
        <f t="shared" si="43"/>
        <v>647.23148019475161</v>
      </c>
    </row>
    <row r="117" spans="8:15">
      <c r="H117" s="132">
        <v>27</v>
      </c>
      <c r="I117" s="139">
        <f>I116*(1-Constants!$D$11)</f>
        <v>0.87342009602538706</v>
      </c>
      <c r="J117" s="133">
        <f t="shared" si="40"/>
        <v>0.12657990397461294</v>
      </c>
      <c r="K117" s="157">
        <f t="shared" si="41"/>
        <v>1146.1711807637187</v>
      </c>
      <c r="L117" s="135">
        <f>K117*'Grid Power'!K44</f>
        <v>457.9001415036999</v>
      </c>
      <c r="M117" s="147">
        <f t="shared" si="42"/>
        <v>27</v>
      </c>
      <c r="N117" s="158">
        <f>PMT(Constants!$D$21,M117,-NPV(Constants!$D$21,$J$91:L117))+Configurations!$C$34/M117</f>
        <v>819.00634866882274</v>
      </c>
      <c r="O117" s="159">
        <f t="shared" si="43"/>
        <v>647.23148019475161</v>
      </c>
    </row>
    <row r="118" spans="8:15">
      <c r="H118" s="132">
        <v>28</v>
      </c>
      <c r="I118" s="139">
        <f>I117*(1-Constants!$D$11)</f>
        <v>0.86905299554526017</v>
      </c>
      <c r="J118" s="133">
        <f t="shared" si="40"/>
        <v>0.13094700445473983</v>
      </c>
      <c r="K118" s="157">
        <f t="shared" si="41"/>
        <v>1185.7149357884084</v>
      </c>
      <c r="L118" s="135">
        <f>K118*'Grid Power'!K45</f>
        <v>496.42862360458355</v>
      </c>
      <c r="M118" s="147">
        <f t="shared" si="42"/>
        <v>28</v>
      </c>
      <c r="N118" s="158">
        <f>PMT(Constants!$D$21,M118,-NPV(Constants!$D$21,$J$91:L118))+Configurations!$C$34/M118</f>
        <v>800.73245227924258</v>
      </c>
      <c r="O118" s="159">
        <f t="shared" si="43"/>
        <v>647.23148019475161</v>
      </c>
    </row>
    <row r="119" spans="8:15">
      <c r="H119" s="132">
        <v>29</v>
      </c>
      <c r="I119" s="139">
        <f>I118*(1-Constants!$D$11)</f>
        <v>0.86470773056753381</v>
      </c>
      <c r="J119" s="133">
        <f t="shared" si="40"/>
        <v>0.13529226943246619</v>
      </c>
      <c r="K119" s="157">
        <f t="shared" si="41"/>
        <v>1225.0609720379755</v>
      </c>
      <c r="L119" s="135">
        <f>K119*'Grid Power'!K46</f>
        <v>537.5519413709651</v>
      </c>
      <c r="M119" s="147">
        <f t="shared" si="42"/>
        <v>29</v>
      </c>
      <c r="N119" s="158">
        <f>PMT(Constants!$D$21,M119,-NPV(Constants!$D$21,$J$91:L119))+Configurations!$C$34/M119</f>
        <v>783.62215473140418</v>
      </c>
      <c r="O119" s="159">
        <f t="shared" si="43"/>
        <v>647.23148019475161</v>
      </c>
    </row>
    <row r="120" spans="8:15">
      <c r="H120" s="132">
        <v>30</v>
      </c>
      <c r="I120" s="139">
        <f>I119*(1-Constants!$D$11)</f>
        <v>0.86038419191469617</v>
      </c>
      <c r="J120" s="133">
        <f t="shared" si="40"/>
        <v>0.13961580808530383</v>
      </c>
      <c r="K120" s="157">
        <f t="shared" si="41"/>
        <v>1264.210278106294</v>
      </c>
      <c r="L120" s="135">
        <f>K120*'Grid Power'!K47</f>
        <v>581.43148220938508</v>
      </c>
      <c r="M120" s="147">
        <f t="shared" si="42"/>
        <v>30</v>
      </c>
      <c r="N120" s="158">
        <f>PMT(Constants!$D$21,M120,-NPV(Constants!$D$21,$J$91:L120))+Configurations!$C$34/M120</f>
        <v>767.5573159606538</v>
      </c>
      <c r="O120" s="159">
        <f t="shared" si="43"/>
        <v>647.23148019475161</v>
      </c>
    </row>
    <row r="121" spans="8:15">
      <c r="H121" s="132">
        <v>31</v>
      </c>
      <c r="I121" s="139">
        <f>I120*(1-Constants!$D$11)</f>
        <v>0.85608227095512268</v>
      </c>
      <c r="J121" s="133">
        <f t="shared" si="40"/>
        <v>0.14391772904487732</v>
      </c>
      <c r="K121" s="157">
        <f t="shared" si="41"/>
        <v>1303.1638376442713</v>
      </c>
      <c r="L121" s="135">
        <f>K121*'Grid Power'!K48</f>
        <v>628.23822632237329</v>
      </c>
      <c r="M121" s="147">
        <f t="shared" si="42"/>
        <v>31</v>
      </c>
      <c r="N121" s="158">
        <f>PMT(Constants!$D$21,M121,-NPV(Constants!$D$21,$J$91:L121))+Configurations!$C$34/M121</f>
        <v>752.43588278463642</v>
      </c>
      <c r="O121" s="159">
        <f t="shared" si="43"/>
        <v>647.23148019475161</v>
      </c>
    </row>
    <row r="122" spans="8:15">
      <c r="H122" s="132">
        <v>32</v>
      </c>
      <c r="I122" s="139">
        <f>I121*(1-Constants!$D$11)</f>
        <v>0.85180185960034704</v>
      </c>
      <c r="J122" s="133">
        <f t="shared" si="40"/>
        <v>0.14819814039965296</v>
      </c>
      <c r="K122" s="157">
        <f t="shared" si="41"/>
        <v>1341.9226293845588</v>
      </c>
      <c r="L122" s="135">
        <f>K122*'Grid Power'!K49</f>
        <v>678.15329944714438</v>
      </c>
      <c r="M122" s="147">
        <f t="shared" si="42"/>
        <v>32</v>
      </c>
      <c r="N122" s="158">
        <f>PMT(Constants!$D$21,M122,-NPV(Constants!$D$21,$J$91:L122))+Configurations!$C$34/M122</f>
        <v>738.16926256750639</v>
      </c>
      <c r="O122" s="159">
        <f t="shared" si="43"/>
        <v>647.23148019475161</v>
      </c>
    </row>
    <row r="123" spans="8:15">
      <c r="H123" s="132">
        <v>33</v>
      </c>
      <c r="I123" s="139">
        <f>I122*(1-Constants!$D$11)</f>
        <v>0.84754285030234533</v>
      </c>
      <c r="J123" s="133">
        <f t="shared" si="40"/>
        <v>0.15245714969765467</v>
      </c>
      <c r="K123" s="157">
        <f t="shared" si="41"/>
        <v>1380.4876271661446</v>
      </c>
      <c r="L123" s="135">
        <f>K123*'Grid Power'!K50</f>
        <v>731.36855672340835</v>
      </c>
      <c r="M123" s="147">
        <f t="shared" si="42"/>
        <v>33</v>
      </c>
      <c r="N123" s="158">
        <f>PMT(Constants!$D$21,M123,-NPV(Constants!$D$21,$J$91:L123))+Configurations!$C$34/M123</f>
        <v>724.68018609500257</v>
      </c>
      <c r="O123" s="159">
        <f t="shared" si="43"/>
        <v>647.23148019475161</v>
      </c>
    </row>
    <row r="124" spans="8:15">
      <c r="H124" s="132">
        <v>34</v>
      </c>
      <c r="I124" s="139">
        <f>I123*(1-Constants!$D$11)</f>
        <v>0.84330513605083357</v>
      </c>
      <c r="J124" s="133">
        <f t="shared" si="40"/>
        <v>0.15669486394916643</v>
      </c>
      <c r="K124" s="157">
        <f t="shared" si="41"/>
        <v>1418.8597999588228</v>
      </c>
      <c r="L124" s="135">
        <f>K124*'Grid Power'!K51</f>
        <v>788.08719941323113</v>
      </c>
      <c r="M124" s="147">
        <f t="shared" si="42"/>
        <v>34</v>
      </c>
      <c r="N124" s="158">
        <f>PMT(Constants!$D$21,M124,-NPV(Constants!$D$21,$J$91:L124))+Configurations!$C$34/M124</f>
        <v>711.9009578657201</v>
      </c>
      <c r="O124" s="159">
        <f t="shared" si="43"/>
        <v>647.23148019475161</v>
      </c>
    </row>
    <row r="125" spans="8:15">
      <c r="H125" s="132">
        <v>35</v>
      </c>
      <c r="I125" s="139">
        <f>I124*(1-Constants!$D$11)</f>
        <v>0.83908861037057936</v>
      </c>
      <c r="J125" s="133">
        <f t="shared" si="40"/>
        <v>0.16091138962942064</v>
      </c>
      <c r="K125" s="157">
        <f t="shared" si="41"/>
        <v>1457.0401118875379</v>
      </c>
      <c r="L125" s="135">
        <f>K125*'Grid Power'!K52</f>
        <v>848.52442628997017</v>
      </c>
      <c r="M125" s="147">
        <f t="shared" si="42"/>
        <v>35</v>
      </c>
      <c r="N125" s="158">
        <f>PMT(Constants!$D$21,M125,-NPV(Constants!$D$21,$J$91:L125))+Configurations!$C$34/M125</f>
        <v>699.77201536293092</v>
      </c>
      <c r="O125" s="159">
        <f t="shared" si="43"/>
        <v>647.23148019475161</v>
      </c>
    </row>
    <row r="126" spans="8:15">
      <c r="H126" s="132">
        <v>36</v>
      </c>
      <c r="I126" s="139">
        <f>I125*(1-Constants!$D$11)</f>
        <v>0.83489316731872643</v>
      </c>
      <c r="J126" s="133">
        <f t="shared" si="40"/>
        <v>0.16510683268127357</v>
      </c>
      <c r="K126" s="157">
        <f t="shared" si="41"/>
        <v>1495.0295222566092</v>
      </c>
      <c r="L126" s="135">
        <f>K126*'Grid Power'!K53</f>
        <v>912.90812161247356</v>
      </c>
      <c r="M126" s="147">
        <f t="shared" si="42"/>
        <v>36</v>
      </c>
      <c r="N126" s="158">
        <f>PMT(Constants!$D$21,M126,-NPV(Constants!$D$21,$J$91:L126))+Configurations!$C$34/M126</f>
        <v>688.24073638314348</v>
      </c>
      <c r="O126" s="159">
        <f t="shared" si="43"/>
        <v>647.23148019475161</v>
      </c>
    </row>
    <row r="127" spans="8:15">
      <c r="H127" s="132">
        <v>37</v>
      </c>
      <c r="I127" s="139">
        <f>I126*(1-Constants!$D$11)</f>
        <v>0.83071870148213278</v>
      </c>
      <c r="J127" s="133">
        <f t="shared" si="40"/>
        <v>0.16928129851786722</v>
      </c>
      <c r="K127" s="157">
        <f t="shared" si="41"/>
        <v>1532.8289855738349</v>
      </c>
      <c r="L127" s="135">
        <f>K127*'Grid Power'!K54</f>
        <v>981.47958170525646</v>
      </c>
      <c r="M127" s="147">
        <f t="shared" si="42"/>
        <v>37</v>
      </c>
      <c r="N127" s="158">
        <f>PMT(Constants!$D$21,M127,-NPV(Constants!$D$21,$J$91:L127))+Configurations!$C$34/M127</f>
        <v>677.26044674315847</v>
      </c>
      <c r="O127" s="159">
        <f t="shared" si="43"/>
        <v>647.23148019475161</v>
      </c>
    </row>
    <row r="128" spans="8:15">
      <c r="H128" s="132">
        <v>38</v>
      </c>
      <c r="I128" s="139">
        <f>I127*(1-Constants!$D$11)</f>
        <v>0.82656510797472216</v>
      </c>
      <c r="J128" s="133">
        <f t="shared" si="40"/>
        <v>0.17343489202527784</v>
      </c>
      <c r="K128" s="157">
        <f t="shared" si="41"/>
        <v>1570.4394515744741</v>
      </c>
      <c r="L128" s="135">
        <f>K128*'Grid Power'!K55</f>
        <v>1054.4942822755283</v>
      </c>
      <c r="M128" s="147">
        <f t="shared" si="42"/>
        <v>38</v>
      </c>
      <c r="N128" s="158">
        <f>PMT(Constants!$D$21,M128,-NPV(Constants!$D$21,$J$91:L128))+Configurations!$C$34/M128</f>
        <v>666.78959078989624</v>
      </c>
      <c r="O128" s="159">
        <f t="shared" si="43"/>
        <v>647.23148019475161</v>
      </c>
    </row>
    <row r="129" spans="8:15">
      <c r="H129" s="132">
        <v>39</v>
      </c>
      <c r="I129" s="139">
        <f>I128*(1-Constants!$D$11)</f>
        <v>0.82243228243484856</v>
      </c>
      <c r="J129" s="133">
        <f t="shared" si="40"/>
        <v>0.17756771756515144</v>
      </c>
      <c r="K129" s="157">
        <f t="shared" si="41"/>
        <v>1607.8618652451103</v>
      </c>
      <c r="L129" s="135">
        <f>K129*'Grid Power'!K56</f>
        <v>1132.222688714055</v>
      </c>
      <c r="M129" s="147">
        <f t="shared" si="42"/>
        <v>39</v>
      </c>
      <c r="N129" s="158">
        <f>PMT(Constants!$D$21,M129,-NPV(Constants!$D$21,$J$91:L129))+Configurations!$C$34/M129</f>
        <v>656.79103490309774</v>
      </c>
      <c r="O129" s="159">
        <f t="shared" si="43"/>
        <v>647.23148019475161</v>
      </c>
    </row>
    <row r="130" spans="8:15">
      <c r="H130" s="140">
        <v>40</v>
      </c>
      <c r="I130" s="141">
        <f>I129*(1-Constants!$D$11)</f>
        <v>0.81832012102267426</v>
      </c>
      <c r="J130" s="163">
        <f t="shared" si="40"/>
        <v>0.18167987897732574</v>
      </c>
      <c r="K130" s="157">
        <f t="shared" si="41"/>
        <v>1645.097166847394</v>
      </c>
      <c r="L130" s="135">
        <f>K130*'Grid Power'!K57</f>
        <v>1214.9511117492084</v>
      </c>
      <c r="M130" s="146">
        <f t="shared" si="42"/>
        <v>40</v>
      </c>
      <c r="N130" s="158">
        <f>PMT(Constants!$D$21,M130,-NPV(Constants!$D$21,$J$91:L130))+Configurations!$C$34/M130</f>
        <v>647.23148019475161</v>
      </c>
      <c r="O130" s="159">
        <f t="shared" si="43"/>
        <v>647.23148019475161</v>
      </c>
    </row>
  </sheetData>
  <mergeCells count="41">
    <mergeCell ref="H88:H89"/>
    <mergeCell ref="I88:I89"/>
    <mergeCell ref="J88:J89"/>
    <mergeCell ref="M88:M89"/>
    <mergeCell ref="X41:Z41"/>
    <mergeCell ref="AA41:AC41"/>
    <mergeCell ref="AF41:AG41"/>
    <mergeCell ref="I42:I43"/>
    <mergeCell ref="H86:N86"/>
    <mergeCell ref="H87:L87"/>
    <mergeCell ref="M87:N87"/>
    <mergeCell ref="X15:Z15"/>
    <mergeCell ref="AA15:AC15"/>
    <mergeCell ref="AF15:AG15"/>
    <mergeCell ref="H40:AG40"/>
    <mergeCell ref="H41:H43"/>
    <mergeCell ref="I41:K41"/>
    <mergeCell ref="L41:O41"/>
    <mergeCell ref="P41:R41"/>
    <mergeCell ref="S41:T41"/>
    <mergeCell ref="U41:W41"/>
    <mergeCell ref="H15:H17"/>
    <mergeCell ref="I15:K15"/>
    <mergeCell ref="L15:O15"/>
    <mergeCell ref="P15:R15"/>
    <mergeCell ref="S15:T15"/>
    <mergeCell ref="U15:W15"/>
    <mergeCell ref="I16:I17"/>
    <mergeCell ref="B3:F3"/>
    <mergeCell ref="I4:K4"/>
    <mergeCell ref="L4:O4"/>
    <mergeCell ref="P4:R4"/>
    <mergeCell ref="H14:AG14"/>
    <mergeCell ref="S4:T4"/>
    <mergeCell ref="U4:W4"/>
    <mergeCell ref="X4:Z4"/>
    <mergeCell ref="AA4:AC4"/>
    <mergeCell ref="H3:AG3"/>
    <mergeCell ref="H4:H6"/>
    <mergeCell ref="AF4:AG4"/>
    <mergeCell ref="I5:I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Constants</vt:lpstr>
      <vt:lpstr>Configurations</vt:lpstr>
      <vt:lpstr>Grid Power</vt:lpstr>
      <vt:lpstr>Weather</vt:lpstr>
      <vt:lpstr>Consumption</vt:lpstr>
      <vt:lpstr>Incentives</vt:lpstr>
      <vt:lpstr>Analysis (Nothing)</vt:lpstr>
      <vt:lpstr>Analysis (A)</vt:lpstr>
      <vt:lpstr>Analysis (B)</vt:lpstr>
      <vt:lpstr>Sources</vt:lpstr>
      <vt:lpstr>Capital</vt:lpstr>
      <vt:lpstr>'Analysis 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Muchen He</cp:lastModifiedBy>
  <dcterms:created xsi:type="dcterms:W3CDTF">2018-08-13T15:26:59Z</dcterms:created>
  <dcterms:modified xsi:type="dcterms:W3CDTF">2018-08-17T02:09:43Z</dcterms:modified>
</cp:coreProperties>
</file>