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chster\OneDrive\Documents\2018 UBC\MECH 431\MECH431\data\"/>
    </mc:Choice>
  </mc:AlternateContent>
  <xr:revisionPtr revIDLastSave="2536" documentId="102_{C2B16FCC-652D-EE4C-A453-90CCD8144001}" xr6:coauthVersionLast="34" xr6:coauthVersionMax="36" xr10:uidLastSave="{FAF7072C-31FC-41B1-B91E-5EBE18BD08F6}"/>
  <bookViews>
    <workbookView xWindow="0" yWindow="1335" windowWidth="38400" windowHeight="20100" tabRatio="648" xr2:uid="{B79B3171-F36B-48DE-8068-476A01F57370}"/>
  </bookViews>
  <sheets>
    <sheet name="Constants" sheetId="1" r:id="rId1"/>
    <sheet name="Configurations" sheetId="15" r:id="rId2"/>
    <sheet name="Grid Power" sheetId="7" r:id="rId3"/>
    <sheet name="Weather" sheetId="10" r:id="rId4"/>
    <sheet name="Consumption" sheetId="11" r:id="rId5"/>
    <sheet name="Incentives" sheetId="16" r:id="rId6"/>
    <sheet name="Analysis (Nothing)" sheetId="5" r:id="rId7"/>
    <sheet name="Analysis (A)" sheetId="8" r:id="rId8"/>
    <sheet name="Analysis (B)" sheetId="17" r:id="rId9"/>
    <sheet name="Analysis (C)" sheetId="19" r:id="rId10"/>
    <sheet name="Sources" sheetId="4" r:id="rId11"/>
  </sheets>
  <definedNames>
    <definedName name="_xlnm.Print_Area" localSheetId="7">'Analysis (A)'!$A$1:$AC$131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17" l="1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25" i="17"/>
  <c r="M26" i="17"/>
  <c r="M27" i="17"/>
  <c r="M28" i="17"/>
  <c r="M29" i="17"/>
  <c r="M30" i="17"/>
  <c r="M31" i="17"/>
  <c r="M32" i="17"/>
  <c r="M33" i="17"/>
  <c r="M24" i="17"/>
  <c r="M23" i="17"/>
  <c r="M22" i="17"/>
  <c r="M21" i="17"/>
  <c r="M20" i="17"/>
  <c r="M19" i="17"/>
  <c r="M18" i="17"/>
  <c r="M9" i="17"/>
  <c r="M10" i="17"/>
  <c r="M11" i="17"/>
  <c r="M12" i="17"/>
  <c r="M8" i="17"/>
  <c r="F35" i="15"/>
  <c r="F34" i="15"/>
  <c r="M7" i="17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91" i="19"/>
  <c r="M44" i="19"/>
  <c r="M18" i="19"/>
  <c r="M7" i="19"/>
  <c r="M12" i="19"/>
  <c r="M11" i="19"/>
  <c r="M10" i="19"/>
  <c r="M9" i="19"/>
  <c r="M8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51" i="19"/>
  <c r="M52" i="19"/>
  <c r="M53" i="19"/>
  <c r="M54" i="19"/>
  <c r="M55" i="19"/>
  <c r="M56" i="19"/>
  <c r="M57" i="19"/>
  <c r="M58" i="19"/>
  <c r="M59" i="19"/>
  <c r="M50" i="19"/>
  <c r="M46" i="19"/>
  <c r="M47" i="19"/>
  <c r="M48" i="19"/>
  <c r="M49" i="19"/>
  <c r="M45" i="19"/>
  <c r="O74" i="19"/>
  <c r="O64" i="19"/>
  <c r="O54" i="19"/>
  <c r="T75" i="19"/>
  <c r="T74" i="19"/>
  <c r="T65" i="19"/>
  <c r="T64" i="19"/>
  <c r="T55" i="19"/>
  <c r="T54" i="19"/>
  <c r="Z75" i="19"/>
  <c r="Z74" i="19"/>
  <c r="Z65" i="19"/>
  <c r="Z64" i="19"/>
  <c r="Z55" i="19"/>
  <c r="Z54" i="19"/>
  <c r="Z45" i="19"/>
  <c r="Z44" i="19"/>
  <c r="W45" i="19"/>
  <c r="W44" i="19"/>
  <c r="T45" i="19"/>
  <c r="T44" i="19"/>
  <c r="N45" i="19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N84" i="19" s="1"/>
  <c r="N19" i="19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8" i="19"/>
  <c r="N9" i="19" s="1"/>
  <c r="N10" i="19" s="1"/>
  <c r="N11" i="19" s="1"/>
  <c r="N12" i="19" s="1"/>
  <c r="Z29" i="19"/>
  <c r="Z28" i="19"/>
  <c r="T29" i="19"/>
  <c r="T28" i="19"/>
  <c r="O28" i="19"/>
  <c r="Z19" i="19"/>
  <c r="Z18" i="19"/>
  <c r="W19" i="19"/>
  <c r="W18" i="19"/>
  <c r="W7" i="19"/>
  <c r="W8" i="19"/>
  <c r="T19" i="19"/>
  <c r="T18" i="19"/>
  <c r="U18" i="19"/>
  <c r="Z8" i="19"/>
  <c r="Z7" i="19"/>
  <c r="AB7" i="19" s="1"/>
  <c r="AA8" i="19" s="1"/>
  <c r="T8" i="19"/>
  <c r="T7" i="19"/>
  <c r="F59" i="15"/>
  <c r="F58" i="15"/>
  <c r="C7" i="19"/>
  <c r="C8" i="19"/>
  <c r="C9" i="19"/>
  <c r="C10" i="19"/>
  <c r="C11" i="19"/>
  <c r="C12" i="19"/>
  <c r="C13" i="19"/>
  <c r="C14" i="19"/>
  <c r="C15" i="19"/>
  <c r="C16" i="19"/>
  <c r="C17" i="19"/>
  <c r="C6" i="19"/>
  <c r="F6" i="19" s="1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I91" i="19"/>
  <c r="J91" i="19" s="1"/>
  <c r="M90" i="19"/>
  <c r="J90" i="19"/>
  <c r="I88" i="19"/>
  <c r="H88" i="19"/>
  <c r="I45" i="19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AB44" i="19"/>
  <c r="AA45" i="19" s="1"/>
  <c r="X44" i="19"/>
  <c r="U44" i="19"/>
  <c r="V44" i="19"/>
  <c r="Z42" i="19"/>
  <c r="W42" i="19"/>
  <c r="T42" i="19"/>
  <c r="I19" i="19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AB18" i="19"/>
  <c r="AA19" i="19" s="1"/>
  <c r="X18" i="19"/>
  <c r="Y18" i="19" s="1"/>
  <c r="X19" i="19" s="1"/>
  <c r="D17" i="19"/>
  <c r="Z16" i="19"/>
  <c r="W16" i="19"/>
  <c r="T16" i="19"/>
  <c r="D16" i="19"/>
  <c r="F16" i="19" s="1"/>
  <c r="D15" i="19"/>
  <c r="E15" i="19" s="1"/>
  <c r="D14" i="19"/>
  <c r="E14" i="19" s="1"/>
  <c r="D13" i="19"/>
  <c r="D12" i="19"/>
  <c r="D11" i="19"/>
  <c r="E11" i="19" s="1"/>
  <c r="F11" i="19"/>
  <c r="D10" i="19"/>
  <c r="D9" i="19"/>
  <c r="F9" i="19" s="1"/>
  <c r="I8" i="19"/>
  <c r="I9" i="19" s="1"/>
  <c r="I10" i="19" s="1"/>
  <c r="I11" i="19" s="1"/>
  <c r="I12" i="19" s="1"/>
  <c r="D8" i="19"/>
  <c r="X7" i="19"/>
  <c r="U7" i="19"/>
  <c r="D7" i="19"/>
  <c r="E7" i="19" s="1"/>
  <c r="D6" i="19"/>
  <c r="Z5" i="19"/>
  <c r="W5" i="19"/>
  <c r="T5" i="19"/>
  <c r="F12" i="19" l="1"/>
  <c r="F8" i="19"/>
  <c r="E17" i="19"/>
  <c r="V18" i="19"/>
  <c r="U19" i="19" s="1"/>
  <c r="F7" i="19"/>
  <c r="D18" i="19"/>
  <c r="V7" i="19"/>
  <c r="U8" i="19" s="1"/>
  <c r="E8" i="19"/>
  <c r="E12" i="19"/>
  <c r="F15" i="19"/>
  <c r="E16" i="19"/>
  <c r="Y7" i="19"/>
  <c r="F14" i="19"/>
  <c r="F10" i="19"/>
  <c r="F17" i="19"/>
  <c r="F13" i="19"/>
  <c r="F18" i="19" s="1"/>
  <c r="E9" i="19"/>
  <c r="E13" i="19"/>
  <c r="E10" i="19"/>
  <c r="AB8" i="19"/>
  <c r="AA9" i="19" s="1"/>
  <c r="AB19" i="19"/>
  <c r="AA20" i="19" s="1"/>
  <c r="V8" i="19"/>
  <c r="U9" i="19" s="1"/>
  <c r="Y19" i="19"/>
  <c r="X20" i="19" s="1"/>
  <c r="E6" i="19"/>
  <c r="C18" i="19"/>
  <c r="K91" i="19" s="1"/>
  <c r="L91" i="19" s="1"/>
  <c r="U45" i="19"/>
  <c r="V45" i="19" s="1"/>
  <c r="Y44" i="19"/>
  <c r="AB45" i="19"/>
  <c r="I92" i="19"/>
  <c r="O35" i="1"/>
  <c r="O36" i="1"/>
  <c r="O37" i="1"/>
  <c r="O38" i="1"/>
  <c r="O34" i="1"/>
  <c r="C57" i="15"/>
  <c r="X8" i="19" l="1"/>
  <c r="Y8" i="19" s="1"/>
  <c r="V19" i="19"/>
  <c r="U20" i="19" s="1"/>
  <c r="K80" i="19"/>
  <c r="K73" i="19"/>
  <c r="K79" i="19"/>
  <c r="K50" i="19"/>
  <c r="K81" i="19"/>
  <c r="K59" i="19"/>
  <c r="K66" i="19"/>
  <c r="K55" i="19"/>
  <c r="K72" i="19"/>
  <c r="K53" i="19"/>
  <c r="K38" i="19"/>
  <c r="K36" i="19"/>
  <c r="K10" i="19"/>
  <c r="K21" i="19"/>
  <c r="K24" i="19"/>
  <c r="K11" i="19"/>
  <c r="K83" i="19"/>
  <c r="K71" i="19"/>
  <c r="K76" i="19"/>
  <c r="K48" i="19"/>
  <c r="K70" i="19"/>
  <c r="K57" i="19"/>
  <c r="K64" i="19"/>
  <c r="K51" i="19"/>
  <c r="K34" i="19"/>
  <c r="K49" i="19"/>
  <c r="K35" i="19"/>
  <c r="K30" i="19"/>
  <c r="K9" i="19"/>
  <c r="K32" i="19"/>
  <c r="K22" i="19"/>
  <c r="K8" i="19"/>
  <c r="K84" i="19"/>
  <c r="K74" i="19"/>
  <c r="K69" i="19"/>
  <c r="K54" i="19"/>
  <c r="K46" i="19"/>
  <c r="K63" i="19"/>
  <c r="K78" i="19"/>
  <c r="K60" i="19"/>
  <c r="K47" i="19"/>
  <c r="K62" i="19"/>
  <c r="K68" i="19"/>
  <c r="K31" i="19"/>
  <c r="K29" i="19"/>
  <c r="K27" i="19"/>
  <c r="K28" i="19"/>
  <c r="K20" i="19"/>
  <c r="K33" i="19"/>
  <c r="K82" i="19"/>
  <c r="K77" i="19"/>
  <c r="K67" i="19"/>
  <c r="K52" i="19"/>
  <c r="K45" i="19"/>
  <c r="K61" i="19"/>
  <c r="K75" i="19"/>
  <c r="K56" i="19"/>
  <c r="K37" i="19"/>
  <c r="K58" i="19"/>
  <c r="K65" i="19"/>
  <c r="K25" i="19"/>
  <c r="K12" i="19"/>
  <c r="K23" i="19"/>
  <c r="K26" i="19"/>
  <c r="K19" i="19"/>
  <c r="E18" i="19"/>
  <c r="K90" i="19"/>
  <c r="L90" i="19" s="1"/>
  <c r="AB9" i="19"/>
  <c r="AA10" i="19" s="1"/>
  <c r="V20" i="19"/>
  <c r="U21" i="19" s="1"/>
  <c r="U46" i="19"/>
  <c r="V46" i="19" s="1"/>
  <c r="AA46" i="19"/>
  <c r="AB46" i="19" s="1"/>
  <c r="X45" i="19"/>
  <c r="Y45" i="19" s="1"/>
  <c r="Y20" i="19"/>
  <c r="X21" i="19" s="1"/>
  <c r="J81" i="19"/>
  <c r="L81" i="19" s="1"/>
  <c r="J78" i="19"/>
  <c r="L78" i="19" s="1"/>
  <c r="J76" i="19"/>
  <c r="L76" i="19" s="1"/>
  <c r="J75" i="19"/>
  <c r="L75" i="19" s="1"/>
  <c r="J84" i="19"/>
  <c r="L84" i="19" s="1"/>
  <c r="J82" i="19"/>
  <c r="L82" i="19" s="1"/>
  <c r="J80" i="19"/>
  <c r="L80" i="19" s="1"/>
  <c r="J77" i="19"/>
  <c r="L77" i="19" s="1"/>
  <c r="J73" i="19"/>
  <c r="L73" i="19" s="1"/>
  <c r="J71" i="19"/>
  <c r="L71" i="19" s="1"/>
  <c r="J69" i="19"/>
  <c r="L69" i="19" s="1"/>
  <c r="J67" i="19"/>
  <c r="L67" i="19" s="1"/>
  <c r="J79" i="19"/>
  <c r="L79" i="19" s="1"/>
  <c r="J72" i="19"/>
  <c r="L72" i="19" s="1"/>
  <c r="J68" i="19"/>
  <c r="L68" i="19" s="1"/>
  <c r="J64" i="19"/>
  <c r="L64" i="19" s="1"/>
  <c r="J62" i="19"/>
  <c r="L62" i="19" s="1"/>
  <c r="J60" i="19"/>
  <c r="L60" i="19" s="1"/>
  <c r="J58" i="19"/>
  <c r="L58" i="19" s="1"/>
  <c r="J56" i="19"/>
  <c r="L56" i="19" s="1"/>
  <c r="J55" i="19"/>
  <c r="L55" i="19" s="1"/>
  <c r="J38" i="19"/>
  <c r="L38" i="19" s="1"/>
  <c r="J36" i="19"/>
  <c r="L36" i="19" s="1"/>
  <c r="J34" i="19"/>
  <c r="L34" i="19" s="1"/>
  <c r="J32" i="19"/>
  <c r="L32" i="19" s="1"/>
  <c r="J54" i="19"/>
  <c r="L54" i="19" s="1"/>
  <c r="J52" i="19"/>
  <c r="L52" i="19" s="1"/>
  <c r="J50" i="19"/>
  <c r="L50" i="19" s="1"/>
  <c r="J48" i="19"/>
  <c r="L48" i="19" s="1"/>
  <c r="J46" i="19"/>
  <c r="L46" i="19" s="1"/>
  <c r="J45" i="19"/>
  <c r="L45" i="19" s="1"/>
  <c r="J74" i="19"/>
  <c r="L74" i="19" s="1"/>
  <c r="J65" i="19"/>
  <c r="L65" i="19" s="1"/>
  <c r="J66" i="19"/>
  <c r="L66" i="19" s="1"/>
  <c r="J63" i="19"/>
  <c r="L63" i="19" s="1"/>
  <c r="J59" i="19"/>
  <c r="L59" i="19" s="1"/>
  <c r="J51" i="19"/>
  <c r="L51" i="19" s="1"/>
  <c r="J47" i="19"/>
  <c r="L47" i="19" s="1"/>
  <c r="J37" i="19"/>
  <c r="L37" i="19" s="1"/>
  <c r="J83" i="19"/>
  <c r="L83" i="19" s="1"/>
  <c r="J70" i="19"/>
  <c r="L70" i="19" s="1"/>
  <c r="J61" i="19"/>
  <c r="L61" i="19" s="1"/>
  <c r="J57" i="19"/>
  <c r="L57" i="19" s="1"/>
  <c r="J53" i="19"/>
  <c r="L53" i="19" s="1"/>
  <c r="J49" i="19"/>
  <c r="L49" i="19" s="1"/>
  <c r="J28" i="19"/>
  <c r="L28" i="19" s="1"/>
  <c r="J26" i="19"/>
  <c r="L26" i="19" s="1"/>
  <c r="J24" i="19"/>
  <c r="L24" i="19" s="1"/>
  <c r="J22" i="19"/>
  <c r="L22" i="19" s="1"/>
  <c r="J20" i="19"/>
  <c r="L20" i="19" s="1"/>
  <c r="J19" i="19"/>
  <c r="L19" i="19" s="1"/>
  <c r="J11" i="19"/>
  <c r="L11" i="19" s="1"/>
  <c r="J9" i="19"/>
  <c r="L9" i="19" s="1"/>
  <c r="J33" i="19"/>
  <c r="L33" i="19" s="1"/>
  <c r="J27" i="19"/>
  <c r="L27" i="19" s="1"/>
  <c r="J25" i="19"/>
  <c r="L25" i="19" s="1"/>
  <c r="J23" i="19"/>
  <c r="L23" i="19" s="1"/>
  <c r="J21" i="19"/>
  <c r="L21" i="19" s="1"/>
  <c r="J35" i="19"/>
  <c r="L35" i="19" s="1"/>
  <c r="J30" i="19"/>
  <c r="L30" i="19" s="1"/>
  <c r="J29" i="19"/>
  <c r="L29" i="19" s="1"/>
  <c r="J12" i="19"/>
  <c r="L12" i="19" s="1"/>
  <c r="J10" i="19"/>
  <c r="L10" i="19" s="1"/>
  <c r="J31" i="19"/>
  <c r="L31" i="19" s="1"/>
  <c r="J8" i="19"/>
  <c r="L8" i="19" s="1"/>
  <c r="AB20" i="19"/>
  <c r="AA21" i="19" s="1"/>
  <c r="V9" i="19"/>
  <c r="U10" i="19" s="1"/>
  <c r="I93" i="19"/>
  <c r="J92" i="19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I91" i="17"/>
  <c r="I92" i="17" s="1"/>
  <c r="M90" i="17"/>
  <c r="J90" i="17"/>
  <c r="I88" i="17"/>
  <c r="H88" i="17"/>
  <c r="N46" i="17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N84" i="17" s="1"/>
  <c r="N20" i="17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9" i="17"/>
  <c r="N10" i="17" s="1"/>
  <c r="N11" i="17" s="1"/>
  <c r="N12" i="17" s="1"/>
  <c r="I45" i="17"/>
  <c r="I46" i="17" s="1"/>
  <c r="X44" i="17"/>
  <c r="U44" i="17"/>
  <c r="Z42" i="17"/>
  <c r="W42" i="17"/>
  <c r="T42" i="17"/>
  <c r="I19" i="17"/>
  <c r="I20" i="17" s="1"/>
  <c r="X18" i="17"/>
  <c r="U18" i="17"/>
  <c r="Z16" i="17"/>
  <c r="W16" i="17"/>
  <c r="T16" i="17"/>
  <c r="D63" i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G8" i="8"/>
  <c r="G9" i="8" s="1"/>
  <c r="G10" i="8" s="1"/>
  <c r="G11" i="8" s="1"/>
  <c r="G12" i="8" s="1"/>
  <c r="D7" i="17"/>
  <c r="D8" i="17"/>
  <c r="D9" i="17"/>
  <c r="D10" i="17"/>
  <c r="D11" i="17"/>
  <c r="D12" i="17"/>
  <c r="D13" i="17"/>
  <c r="D14" i="17"/>
  <c r="D15" i="17"/>
  <c r="D16" i="17"/>
  <c r="D17" i="17"/>
  <c r="D6" i="17"/>
  <c r="L16" i="7"/>
  <c r="L17" i="7" s="1"/>
  <c r="L18" i="7" s="1"/>
  <c r="X7" i="17"/>
  <c r="U7" i="17"/>
  <c r="Z5" i="17"/>
  <c r="W5" i="17"/>
  <c r="T5" i="17"/>
  <c r="I8" i="17"/>
  <c r="I9" i="17" s="1"/>
  <c r="I10" i="17" s="1"/>
  <c r="X9" i="19" l="1"/>
  <c r="Y9" i="19" s="1"/>
  <c r="P44" i="19"/>
  <c r="R44" i="19" s="1"/>
  <c r="S44" i="19" s="1"/>
  <c r="AC44" i="19" s="1"/>
  <c r="AD44" i="19" s="1"/>
  <c r="AE44" i="19" s="1"/>
  <c r="AF44" i="19" s="1"/>
  <c r="P18" i="19"/>
  <c r="R18" i="19" s="1"/>
  <c r="S18" i="19" s="1"/>
  <c r="AC18" i="19" s="1"/>
  <c r="AD18" i="19" s="1"/>
  <c r="AE18" i="19" s="1"/>
  <c r="P7" i="19"/>
  <c r="R7" i="19" s="1"/>
  <c r="S7" i="19" s="1"/>
  <c r="AC7" i="19" s="1"/>
  <c r="AD7" i="19" s="1"/>
  <c r="AE7" i="19" s="1"/>
  <c r="AF7" i="19" s="1"/>
  <c r="P45" i="19"/>
  <c r="R45" i="19"/>
  <c r="P8" i="19"/>
  <c r="R8" i="19" s="1"/>
  <c r="P7" i="17"/>
  <c r="P19" i="19"/>
  <c r="R19" i="19" s="1"/>
  <c r="AB21" i="19"/>
  <c r="AA22" i="19" s="1"/>
  <c r="V21" i="19"/>
  <c r="U22" i="19" s="1"/>
  <c r="U47" i="19"/>
  <c r="V47" i="19" s="1"/>
  <c r="Y21" i="19"/>
  <c r="X22" i="19" s="1"/>
  <c r="X46" i="19"/>
  <c r="Y46" i="19" s="1"/>
  <c r="AA47" i="19"/>
  <c r="AB47" i="19" s="1"/>
  <c r="K92" i="19"/>
  <c r="V10" i="19"/>
  <c r="U11" i="19" s="1"/>
  <c r="I94" i="19"/>
  <c r="J93" i="19"/>
  <c r="K93" i="19" s="1"/>
  <c r="L93" i="19" s="1"/>
  <c r="L7" i="8"/>
  <c r="L8" i="8" s="1"/>
  <c r="L9" i="8" s="1"/>
  <c r="L10" i="8" s="1"/>
  <c r="L11" i="8" s="1"/>
  <c r="L12" i="8" s="1"/>
  <c r="L18" i="8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19" i="7"/>
  <c r="P20" i="19" s="1"/>
  <c r="R20" i="19" s="1"/>
  <c r="P18" i="17"/>
  <c r="P44" i="17"/>
  <c r="J92" i="17"/>
  <c r="I93" i="17"/>
  <c r="J91" i="17"/>
  <c r="I47" i="17"/>
  <c r="I21" i="17"/>
  <c r="D18" i="17"/>
  <c r="I11" i="17"/>
  <c r="C33" i="15"/>
  <c r="R35" i="1"/>
  <c r="R33" i="1"/>
  <c r="E35" i="1"/>
  <c r="E36" i="1"/>
  <c r="E37" i="1"/>
  <c r="E38" i="1"/>
  <c r="E39" i="1"/>
  <c r="E34" i="1"/>
  <c r="G91" i="8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S84" i="8"/>
  <c r="S65" i="8"/>
  <c r="S64" i="8"/>
  <c r="S48" i="8"/>
  <c r="S47" i="8"/>
  <c r="S46" i="8"/>
  <c r="G45" i="8"/>
  <c r="P44" i="8"/>
  <c r="S38" i="8"/>
  <c r="S22" i="8"/>
  <c r="S21" i="8"/>
  <c r="S20" i="8"/>
  <c r="G19" i="8"/>
  <c r="O18" i="8"/>
  <c r="X10" i="19" l="1"/>
  <c r="Y10" i="19" s="1"/>
  <c r="AF18" i="19"/>
  <c r="P9" i="19"/>
  <c r="R9" i="19" s="1"/>
  <c r="P46" i="19"/>
  <c r="R46" i="19" s="1"/>
  <c r="AB10" i="19"/>
  <c r="AA11" i="19" s="1"/>
  <c r="S10" i="8"/>
  <c r="S9" i="8"/>
  <c r="V22" i="19"/>
  <c r="U23" i="19" s="1"/>
  <c r="V11" i="19"/>
  <c r="U12" i="19" s="1"/>
  <c r="Y22" i="19"/>
  <c r="X23" i="19" s="1"/>
  <c r="AA48" i="19"/>
  <c r="X47" i="19"/>
  <c r="J94" i="19"/>
  <c r="K94" i="19" s="1"/>
  <c r="L94" i="19" s="1"/>
  <c r="I95" i="19"/>
  <c r="L92" i="19"/>
  <c r="U48" i="19"/>
  <c r="V48" i="19" s="1"/>
  <c r="S11" i="8"/>
  <c r="C32" i="15"/>
  <c r="C56" i="15"/>
  <c r="C58" i="15" s="1"/>
  <c r="L20" i="7"/>
  <c r="I94" i="17"/>
  <c r="J93" i="17"/>
  <c r="I48" i="17"/>
  <c r="I22" i="17"/>
  <c r="R36" i="1"/>
  <c r="I12" i="17"/>
  <c r="C34" i="15"/>
  <c r="S81" i="8"/>
  <c r="S70" i="8"/>
  <c r="S52" i="8"/>
  <c r="S56" i="8"/>
  <c r="S50" i="8"/>
  <c r="S58" i="8"/>
  <c r="S78" i="8"/>
  <c r="S82" i="8"/>
  <c r="S61" i="8"/>
  <c r="S73" i="8"/>
  <c r="S77" i="8"/>
  <c r="S69" i="8"/>
  <c r="S76" i="8"/>
  <c r="S80" i="8"/>
  <c r="S66" i="8"/>
  <c r="S49" i="8"/>
  <c r="S60" i="8"/>
  <c r="S68" i="8"/>
  <c r="S72" i="8"/>
  <c r="S62" i="8"/>
  <c r="G46" i="8"/>
  <c r="S51" i="8"/>
  <c r="S53" i="8"/>
  <c r="S57" i="8"/>
  <c r="S59" i="8"/>
  <c r="S67" i="8"/>
  <c r="S71" i="8"/>
  <c r="S79" i="8"/>
  <c r="S83" i="8"/>
  <c r="S63" i="8"/>
  <c r="S23" i="8"/>
  <c r="S31" i="8"/>
  <c r="S27" i="8"/>
  <c r="S35" i="8"/>
  <c r="S24" i="8"/>
  <c r="S32" i="8"/>
  <c r="S36" i="8"/>
  <c r="S25" i="8"/>
  <c r="S33" i="8"/>
  <c r="G20" i="8"/>
  <c r="S26" i="8"/>
  <c r="S30" i="8"/>
  <c r="S34" i="8"/>
  <c r="S37" i="8"/>
  <c r="S12" i="8"/>
  <c r="E5" i="5"/>
  <c r="K129" i="8"/>
  <c r="K130" i="8"/>
  <c r="K125" i="8"/>
  <c r="K126" i="8"/>
  <c r="K127" i="8"/>
  <c r="K128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G88" i="8"/>
  <c r="H90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F88" i="8"/>
  <c r="O7" i="8"/>
  <c r="H91" i="8"/>
  <c r="C10" i="11"/>
  <c r="C11" i="11"/>
  <c r="C12" i="11"/>
  <c r="C21" i="11" s="1"/>
  <c r="C13" i="11"/>
  <c r="C14" i="11"/>
  <c r="C15" i="11"/>
  <c r="C16" i="11"/>
  <c r="C17" i="11"/>
  <c r="C18" i="11"/>
  <c r="C19" i="11"/>
  <c r="C20" i="11"/>
  <c r="C9" i="11"/>
  <c r="C24" i="15"/>
  <c r="C17" i="15"/>
  <c r="E7" i="15"/>
  <c r="E8" i="15"/>
  <c r="E9" i="15"/>
  <c r="E6" i="15"/>
  <c r="C15" i="15" s="1"/>
  <c r="N7" i="8"/>
  <c r="F9" i="10"/>
  <c r="F10" i="10"/>
  <c r="F11" i="10"/>
  <c r="F12" i="10"/>
  <c r="F13" i="10"/>
  <c r="F14" i="10"/>
  <c r="F15" i="10"/>
  <c r="F16" i="10"/>
  <c r="F17" i="10"/>
  <c r="F18" i="10"/>
  <c r="F19" i="10"/>
  <c r="E9" i="10"/>
  <c r="E10" i="10"/>
  <c r="E11" i="10"/>
  <c r="E12" i="10"/>
  <c r="E13" i="10"/>
  <c r="E14" i="10"/>
  <c r="E15" i="10"/>
  <c r="E16" i="10"/>
  <c r="E17" i="10"/>
  <c r="E18" i="10"/>
  <c r="E19" i="10"/>
  <c r="F8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G19" i="10" s="1"/>
  <c r="I19" i="10" s="1"/>
  <c r="C17" i="17" s="1"/>
  <c r="F17" i="17" s="1"/>
  <c r="D8" i="10"/>
  <c r="G8" i="10" s="1"/>
  <c r="E18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D18" i="7"/>
  <c r="D19" i="7" s="1"/>
  <c r="U22" i="1"/>
  <c r="G6" i="7"/>
  <c r="G7" i="7"/>
  <c r="G8" i="7"/>
  <c r="G9" i="7"/>
  <c r="G10" i="7"/>
  <c r="G11" i="7"/>
  <c r="G12" i="7"/>
  <c r="G13" i="7"/>
  <c r="G14" i="7"/>
  <c r="G15" i="7"/>
  <c r="G16" i="7"/>
  <c r="G17" i="7"/>
  <c r="G5" i="7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J17" i="7"/>
  <c r="I17" i="7"/>
  <c r="I18" i="7" s="1"/>
  <c r="K17" i="7"/>
  <c r="L25" i="4"/>
  <c r="K28" i="4" s="1"/>
  <c r="K29" i="4" s="1"/>
  <c r="K30" i="4" s="1"/>
  <c r="K31" i="4" s="1"/>
  <c r="C4" i="11"/>
  <c r="D16" i="11"/>
  <c r="D13" i="11"/>
  <c r="D18" i="11"/>
  <c r="D11" i="11"/>
  <c r="D12" i="11"/>
  <c r="D20" i="11"/>
  <c r="X11" i="19" l="1"/>
  <c r="Y11" i="19" s="1"/>
  <c r="P47" i="19"/>
  <c r="R47" i="19" s="1"/>
  <c r="P21" i="19"/>
  <c r="R21" i="19" s="1"/>
  <c r="P10" i="19"/>
  <c r="R10" i="19" s="1"/>
  <c r="AB11" i="19"/>
  <c r="U49" i="19"/>
  <c r="V49" i="19" s="1"/>
  <c r="Y23" i="19"/>
  <c r="X24" i="19" s="1"/>
  <c r="V23" i="19"/>
  <c r="U24" i="19" s="1"/>
  <c r="V12" i="19"/>
  <c r="AB48" i="19"/>
  <c r="AB22" i="19"/>
  <c r="AA23" i="19" s="1"/>
  <c r="J95" i="19"/>
  <c r="I96" i="19"/>
  <c r="Y47" i="19"/>
  <c r="C59" i="15"/>
  <c r="D63" i="15"/>
  <c r="D67" i="15"/>
  <c r="D66" i="15"/>
  <c r="D64" i="15"/>
  <c r="D71" i="15" s="1"/>
  <c r="D68" i="15"/>
  <c r="D65" i="15"/>
  <c r="E71" i="15" s="1"/>
  <c r="D62" i="15"/>
  <c r="C71" i="15" s="1"/>
  <c r="C35" i="15"/>
  <c r="L21" i="7"/>
  <c r="D39" i="15"/>
  <c r="J94" i="17"/>
  <c r="I95" i="17"/>
  <c r="I49" i="17"/>
  <c r="I8" i="10"/>
  <c r="E17" i="17"/>
  <c r="I23" i="17"/>
  <c r="I24" i="17" s="1"/>
  <c r="I25" i="17" s="1"/>
  <c r="I26" i="17" s="1"/>
  <c r="I27" i="17" s="1"/>
  <c r="I28" i="17" s="1"/>
  <c r="C16" i="8"/>
  <c r="C5" i="8"/>
  <c r="N18" i="8"/>
  <c r="N44" i="8"/>
  <c r="D42" i="15"/>
  <c r="D41" i="15"/>
  <c r="D38" i="15"/>
  <c r="D40" i="15"/>
  <c r="D47" i="15" s="1"/>
  <c r="D43" i="15"/>
  <c r="D44" i="15"/>
  <c r="G13" i="10"/>
  <c r="I13" i="10" s="1"/>
  <c r="C11" i="17" s="1"/>
  <c r="F11" i="17" s="1"/>
  <c r="G14" i="10"/>
  <c r="I14" i="10" s="1"/>
  <c r="C12" i="17" s="1"/>
  <c r="F12" i="17" s="1"/>
  <c r="G18" i="10"/>
  <c r="I18" i="10" s="1"/>
  <c r="C16" i="17" s="1"/>
  <c r="F16" i="17" s="1"/>
  <c r="G17" i="10"/>
  <c r="I17" i="10" s="1"/>
  <c r="C15" i="17" s="1"/>
  <c r="F15" i="17" s="1"/>
  <c r="G10" i="10"/>
  <c r="I10" i="10" s="1"/>
  <c r="C8" i="17" s="1"/>
  <c r="G15" i="10"/>
  <c r="I15" i="10" s="1"/>
  <c r="C13" i="17" s="1"/>
  <c r="F13" i="17" s="1"/>
  <c r="G12" i="10"/>
  <c r="I12" i="10" s="1"/>
  <c r="C10" i="17" s="1"/>
  <c r="F10" i="17" s="1"/>
  <c r="G9" i="10"/>
  <c r="I9" i="10" s="1"/>
  <c r="C7" i="17" s="1"/>
  <c r="G16" i="10"/>
  <c r="I16" i="10" s="1"/>
  <c r="C14" i="17" s="1"/>
  <c r="F14" i="17" s="1"/>
  <c r="G11" i="10"/>
  <c r="I11" i="10" s="1"/>
  <c r="C9" i="17" s="1"/>
  <c r="F9" i="17" s="1"/>
  <c r="G47" i="8"/>
  <c r="G21" i="8"/>
  <c r="G22" i="8" s="1"/>
  <c r="G23" i="8" s="1"/>
  <c r="G24" i="8" s="1"/>
  <c r="G18" i="7"/>
  <c r="J18" i="7" s="1"/>
  <c r="K18" i="7" s="1"/>
  <c r="C16" i="15"/>
  <c r="D14" i="11"/>
  <c r="D19" i="11"/>
  <c r="D17" i="11"/>
  <c r="D9" i="11"/>
  <c r="D15" i="11"/>
  <c r="I19" i="7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D10" i="11"/>
  <c r="D20" i="7"/>
  <c r="G19" i="7"/>
  <c r="J19" i="7" s="1"/>
  <c r="X12" i="19" l="1"/>
  <c r="Y12" i="19" s="1"/>
  <c r="AA12" i="19"/>
  <c r="AB12" i="19" s="1"/>
  <c r="P11" i="19"/>
  <c r="R11" i="19" s="1"/>
  <c r="P48" i="19"/>
  <c r="R48" i="19" s="1"/>
  <c r="P22" i="19"/>
  <c r="R22" i="19" s="1"/>
  <c r="Y24" i="19"/>
  <c r="X25" i="19" s="1"/>
  <c r="V24" i="19"/>
  <c r="U25" i="19" s="1"/>
  <c r="AB23" i="19"/>
  <c r="AA24" i="19" s="1"/>
  <c r="AA49" i="19"/>
  <c r="AB49" i="19"/>
  <c r="I97" i="19"/>
  <c r="J96" i="19"/>
  <c r="K96" i="19" s="1"/>
  <c r="L96" i="19" s="1"/>
  <c r="U50" i="19"/>
  <c r="V50" i="19" s="1"/>
  <c r="X48" i="19"/>
  <c r="Y48" i="19" s="1"/>
  <c r="K95" i="19"/>
  <c r="C47" i="15"/>
  <c r="L22" i="7"/>
  <c r="T45" i="17"/>
  <c r="T8" i="17"/>
  <c r="T44" i="17"/>
  <c r="V44" i="17" s="1"/>
  <c r="U45" i="17" s="1"/>
  <c r="T19" i="17"/>
  <c r="T18" i="17"/>
  <c r="V18" i="17" s="1"/>
  <c r="T7" i="17"/>
  <c r="E47" i="15"/>
  <c r="Z65" i="17"/>
  <c r="Z75" i="17"/>
  <c r="Z29" i="17"/>
  <c r="Z64" i="17"/>
  <c r="Z55" i="17"/>
  <c r="Z54" i="17"/>
  <c r="Z28" i="17"/>
  <c r="Z74" i="17"/>
  <c r="R18" i="17"/>
  <c r="S18" i="17" s="1"/>
  <c r="R44" i="17"/>
  <c r="S44" i="17" s="1"/>
  <c r="AC44" i="17" s="1"/>
  <c r="AD44" i="17" s="1"/>
  <c r="AE44" i="17" s="1"/>
  <c r="AF44" i="17" s="1"/>
  <c r="W44" i="17"/>
  <c r="Y44" i="17" s="1"/>
  <c r="X45" i="17" s="1"/>
  <c r="W19" i="17"/>
  <c r="W18" i="17"/>
  <c r="Y18" i="17" s="1"/>
  <c r="W45" i="17"/>
  <c r="T65" i="17"/>
  <c r="T54" i="17"/>
  <c r="O28" i="17"/>
  <c r="O74" i="17"/>
  <c r="T64" i="17"/>
  <c r="O54" i="17"/>
  <c r="T29" i="17"/>
  <c r="T75" i="17"/>
  <c r="T55" i="17"/>
  <c r="T28" i="17"/>
  <c r="O64" i="17"/>
  <c r="T74" i="17"/>
  <c r="I96" i="17"/>
  <c r="J95" i="17"/>
  <c r="I50" i="17"/>
  <c r="C14" i="8"/>
  <c r="C6" i="8"/>
  <c r="E10" i="17"/>
  <c r="E16" i="17"/>
  <c r="C13" i="8"/>
  <c r="C15" i="8"/>
  <c r="E9" i="17"/>
  <c r="E13" i="17"/>
  <c r="E12" i="17"/>
  <c r="C11" i="8"/>
  <c r="C6" i="17"/>
  <c r="N22" i="10"/>
  <c r="F8" i="17"/>
  <c r="E8" i="17"/>
  <c r="C9" i="8"/>
  <c r="L22" i="10"/>
  <c r="E14" i="17"/>
  <c r="E11" i="17"/>
  <c r="C12" i="8"/>
  <c r="F7" i="17"/>
  <c r="E7" i="17"/>
  <c r="E15" i="17"/>
  <c r="C7" i="8"/>
  <c r="C8" i="8"/>
  <c r="C10" i="8"/>
  <c r="I29" i="17"/>
  <c r="Z8" i="17"/>
  <c r="W8" i="17"/>
  <c r="W7" i="17"/>
  <c r="Y7" i="17" s="1"/>
  <c r="X8" i="17" s="1"/>
  <c r="V7" i="17"/>
  <c r="U8" i="17" s="1"/>
  <c r="M54" i="8"/>
  <c r="M74" i="8"/>
  <c r="M28" i="8"/>
  <c r="C18" i="15"/>
  <c r="G48" i="8"/>
  <c r="G25" i="8"/>
  <c r="H92" i="8"/>
  <c r="K19" i="7"/>
  <c r="D21" i="7"/>
  <c r="G20" i="7"/>
  <c r="J20" i="7" s="1"/>
  <c r="K20" i="7" s="1"/>
  <c r="C43" i="5"/>
  <c r="C14" i="5"/>
  <c r="C35" i="5"/>
  <c r="C21" i="5"/>
  <c r="C18" i="5"/>
  <c r="C6" i="5"/>
  <c r="D6" i="5" s="1"/>
  <c r="C24" i="5"/>
  <c r="C31" i="5"/>
  <c r="C34" i="5"/>
  <c r="C19" i="5"/>
  <c r="C22" i="5"/>
  <c r="C40" i="5"/>
  <c r="C38" i="5"/>
  <c r="C37" i="5"/>
  <c r="C29" i="5"/>
  <c r="C16" i="5"/>
  <c r="C7" i="5"/>
  <c r="C12" i="5"/>
  <c r="C30" i="5"/>
  <c r="C15" i="5"/>
  <c r="C27" i="5"/>
  <c r="C8" i="5"/>
  <c r="C33" i="5"/>
  <c r="C9" i="5"/>
  <c r="C39" i="5"/>
  <c r="C45" i="5"/>
  <c r="C17" i="5"/>
  <c r="C13" i="5"/>
  <c r="C44" i="5"/>
  <c r="C28" i="5"/>
  <c r="C23" i="5"/>
  <c r="C32" i="5"/>
  <c r="D21" i="11"/>
  <c r="C11" i="5"/>
  <c r="C25" i="5"/>
  <c r="C36" i="5"/>
  <c r="C26" i="5"/>
  <c r="C42" i="5"/>
  <c r="C20" i="5"/>
  <c r="C41" i="5"/>
  <c r="C10" i="5"/>
  <c r="S8" i="19" l="1"/>
  <c r="AC8" i="19" s="1"/>
  <c r="AD8" i="19" s="1"/>
  <c r="AE8" i="19" s="1"/>
  <c r="AF8" i="19" s="1"/>
  <c r="S45" i="19"/>
  <c r="AC45" i="19" s="1"/>
  <c r="AD45" i="19" s="1"/>
  <c r="AE45" i="19" s="1"/>
  <c r="AF45" i="19" s="1"/>
  <c r="S19" i="19"/>
  <c r="AC19" i="19" s="1"/>
  <c r="AD19" i="19" s="1"/>
  <c r="AE19" i="19" s="1"/>
  <c r="AF19" i="19" s="1"/>
  <c r="Q12" i="19"/>
  <c r="P23" i="19"/>
  <c r="R23" i="19" s="1"/>
  <c r="P12" i="19"/>
  <c r="R12" i="19" s="1"/>
  <c r="P49" i="19"/>
  <c r="R49" i="19" s="1"/>
  <c r="V25" i="19"/>
  <c r="U26" i="19" s="1"/>
  <c r="U51" i="19"/>
  <c r="V51" i="19" s="1"/>
  <c r="Y25" i="19"/>
  <c r="X26" i="19" s="1"/>
  <c r="AA50" i="19"/>
  <c r="L95" i="19"/>
  <c r="I98" i="19"/>
  <c r="J97" i="19"/>
  <c r="K97" i="19" s="1"/>
  <c r="L97" i="19" s="1"/>
  <c r="X49" i="19"/>
  <c r="V45" i="17"/>
  <c r="U46" i="17" s="1"/>
  <c r="V46" i="17" s="1"/>
  <c r="U47" i="17" s="1"/>
  <c r="V47" i="17" s="1"/>
  <c r="U48" i="17" s="1"/>
  <c r="L23" i="7"/>
  <c r="AC18" i="17"/>
  <c r="AD18" i="17" s="1"/>
  <c r="X19" i="17"/>
  <c r="Y19" i="17" s="1"/>
  <c r="X20" i="17" s="1"/>
  <c r="Y20" i="17" s="1"/>
  <c r="Z7" i="17"/>
  <c r="AB7" i="17" s="1"/>
  <c r="AA8" i="17" s="1"/>
  <c r="Z44" i="17"/>
  <c r="AB44" i="17" s="1"/>
  <c r="AA45" i="17" s="1"/>
  <c r="Z19" i="17"/>
  <c r="Z18" i="17"/>
  <c r="AB18" i="17" s="1"/>
  <c r="AA19" i="17" s="1"/>
  <c r="Z45" i="17"/>
  <c r="R7" i="17"/>
  <c r="S7" i="17" s="1"/>
  <c r="AC7" i="17" s="1"/>
  <c r="AD7" i="17" s="1"/>
  <c r="AE7" i="17" s="1"/>
  <c r="AF7" i="17" s="1"/>
  <c r="Y45" i="17"/>
  <c r="X46" i="17" s="1"/>
  <c r="Y46" i="17" s="1"/>
  <c r="X47" i="17" s="1"/>
  <c r="Y47" i="17" s="1"/>
  <c r="X48" i="17" s="1"/>
  <c r="Y48" i="17" s="1"/>
  <c r="X49" i="17" s="1"/>
  <c r="Y49" i="17" s="1"/>
  <c r="U19" i="17"/>
  <c r="V19" i="17" s="1"/>
  <c r="J96" i="17"/>
  <c r="I97" i="17"/>
  <c r="I51" i="17"/>
  <c r="E6" i="17"/>
  <c r="E18" i="17" s="1"/>
  <c r="C18" i="17"/>
  <c r="F6" i="17"/>
  <c r="F18" i="17" s="1"/>
  <c r="I30" i="17"/>
  <c r="V8" i="17"/>
  <c r="U9" i="17" s="1"/>
  <c r="V9" i="17" s="1"/>
  <c r="U10" i="17" s="1"/>
  <c r="V10" i="17" s="1"/>
  <c r="U11" i="17" s="1"/>
  <c r="V11" i="17" s="1"/>
  <c r="U12" i="17" s="1"/>
  <c r="Y8" i="17"/>
  <c r="X9" i="17" s="1"/>
  <c r="Y9" i="17" s="1"/>
  <c r="X10" i="17" s="1"/>
  <c r="Y10" i="17" s="1"/>
  <c r="X11" i="17" s="1"/>
  <c r="Y11" i="17" s="1"/>
  <c r="X12" i="17" s="1"/>
  <c r="Y12" i="17" s="1"/>
  <c r="C17" i="8"/>
  <c r="I90" i="8" s="1"/>
  <c r="J90" i="8" s="1"/>
  <c r="K7" i="8"/>
  <c r="K44" i="8"/>
  <c r="Q44" i="8" s="1"/>
  <c r="R44" i="8" s="1"/>
  <c r="K18" i="8"/>
  <c r="S28" i="8"/>
  <c r="S29" i="8"/>
  <c r="S74" i="8"/>
  <c r="S75" i="8"/>
  <c r="S54" i="8"/>
  <c r="S55" i="8"/>
  <c r="G49" i="8"/>
  <c r="G26" i="8"/>
  <c r="H93" i="8"/>
  <c r="D8" i="5"/>
  <c r="D7" i="5"/>
  <c r="G21" i="7"/>
  <c r="J21" i="7" s="1"/>
  <c r="K21" i="7" s="1"/>
  <c r="D9" i="5" s="1"/>
  <c r="S48" i="19" s="1"/>
  <c r="AC48" i="19" s="1"/>
  <c r="AD48" i="19" s="1"/>
  <c r="AE48" i="19" s="1"/>
  <c r="AF48" i="19" s="1"/>
  <c r="D22" i="7"/>
  <c r="E6" i="5"/>
  <c r="E7" i="5" l="1"/>
  <c r="S20" i="19"/>
  <c r="AC20" i="19" s="1"/>
  <c r="AD20" i="19" s="1"/>
  <c r="AE20" i="19" s="1"/>
  <c r="AF20" i="19" s="1"/>
  <c r="S46" i="19"/>
  <c r="AC46" i="19" s="1"/>
  <c r="AD46" i="19" s="1"/>
  <c r="AE46" i="19" s="1"/>
  <c r="AF46" i="19" s="1"/>
  <c r="S9" i="19"/>
  <c r="AC9" i="19" s="1"/>
  <c r="AD9" i="19" s="1"/>
  <c r="AE9" i="19" s="1"/>
  <c r="AF9" i="19" s="1"/>
  <c r="E8" i="5"/>
  <c r="S47" i="19"/>
  <c r="AC47" i="19" s="1"/>
  <c r="AD47" i="19" s="1"/>
  <c r="AE47" i="19" s="1"/>
  <c r="AF47" i="19" s="1"/>
  <c r="S10" i="19"/>
  <c r="AC10" i="19" s="1"/>
  <c r="AD10" i="19" s="1"/>
  <c r="AE10" i="19" s="1"/>
  <c r="AF10" i="19" s="1"/>
  <c r="S21" i="19"/>
  <c r="AC21" i="19" s="1"/>
  <c r="AD21" i="19" s="1"/>
  <c r="AE21" i="19" s="1"/>
  <c r="AF21" i="19" s="1"/>
  <c r="S22" i="19"/>
  <c r="AC22" i="19" s="1"/>
  <c r="AD22" i="19" s="1"/>
  <c r="AE22" i="19" s="1"/>
  <c r="AF22" i="19" s="1"/>
  <c r="S11" i="19"/>
  <c r="AC11" i="19" s="1"/>
  <c r="AD11" i="19" s="1"/>
  <c r="AE11" i="19" s="1"/>
  <c r="AF11" i="19" s="1"/>
  <c r="V48" i="17"/>
  <c r="U49" i="17" s="1"/>
  <c r="V49" i="17" s="1"/>
  <c r="P50" i="19"/>
  <c r="R50" i="19" s="1"/>
  <c r="P24" i="19"/>
  <c r="R24" i="19" s="1"/>
  <c r="Y26" i="19"/>
  <c r="X27" i="19" s="1"/>
  <c r="V26" i="19"/>
  <c r="U27" i="19" s="1"/>
  <c r="J98" i="19"/>
  <c r="K98" i="19" s="1"/>
  <c r="L98" i="19" s="1"/>
  <c r="I99" i="19"/>
  <c r="U52" i="19"/>
  <c r="V52" i="19" s="1"/>
  <c r="Y49" i="19"/>
  <c r="AB24" i="19"/>
  <c r="AA25" i="19" s="1"/>
  <c r="AB50" i="19"/>
  <c r="AB19" i="17"/>
  <c r="K50" i="17"/>
  <c r="AB8" i="17"/>
  <c r="AA9" i="17" s="1"/>
  <c r="AB9" i="17" s="1"/>
  <c r="AA10" i="17" s="1"/>
  <c r="AB10" i="17" s="1"/>
  <c r="AA11" i="17" s="1"/>
  <c r="AB11" i="17" s="1"/>
  <c r="AB45" i="17"/>
  <c r="AA46" i="17" s="1"/>
  <c r="AB46" i="17" s="1"/>
  <c r="AA47" i="17" s="1"/>
  <c r="AB47" i="17" s="1"/>
  <c r="AA48" i="17" s="1"/>
  <c r="AB48" i="17" s="1"/>
  <c r="AA49" i="17" s="1"/>
  <c r="AB49" i="17" s="1"/>
  <c r="AA50" i="17" s="1"/>
  <c r="AB50" i="17" s="1"/>
  <c r="L24" i="7"/>
  <c r="P50" i="17"/>
  <c r="S7" i="8"/>
  <c r="U7" i="8" s="1"/>
  <c r="Q7" i="8"/>
  <c r="R7" i="8" s="1"/>
  <c r="V7" i="8" s="1"/>
  <c r="W7" i="8" s="1"/>
  <c r="X7" i="8" s="1"/>
  <c r="K92" i="17"/>
  <c r="L92" i="17" s="1"/>
  <c r="K96" i="17"/>
  <c r="L96" i="17" s="1"/>
  <c r="K93" i="17"/>
  <c r="L93" i="17" s="1"/>
  <c r="K94" i="17"/>
  <c r="L94" i="17" s="1"/>
  <c r="K95" i="17"/>
  <c r="L95" i="17" s="1"/>
  <c r="K91" i="17"/>
  <c r="K90" i="17"/>
  <c r="L90" i="17" s="1"/>
  <c r="AA20" i="17"/>
  <c r="AB20" i="17" s="1"/>
  <c r="J45" i="17"/>
  <c r="L45" i="17" s="1"/>
  <c r="J46" i="17"/>
  <c r="L46" i="17" s="1"/>
  <c r="J47" i="17"/>
  <c r="L47" i="17" s="1"/>
  <c r="J48" i="17"/>
  <c r="L48" i="17" s="1"/>
  <c r="J49" i="17"/>
  <c r="L49" i="17" s="1"/>
  <c r="J50" i="17"/>
  <c r="L50" i="17" s="1"/>
  <c r="U20" i="17"/>
  <c r="V20" i="17" s="1"/>
  <c r="U21" i="17" s="1"/>
  <c r="V21" i="17" s="1"/>
  <c r="AE18" i="17"/>
  <c r="AF18" i="17" s="1"/>
  <c r="Q18" i="8"/>
  <c r="R18" i="8" s="1"/>
  <c r="V18" i="8" s="1"/>
  <c r="W18" i="8" s="1"/>
  <c r="X18" i="8" s="1"/>
  <c r="Y18" i="8" s="1"/>
  <c r="X21" i="17"/>
  <c r="Y21" i="17" s="1"/>
  <c r="X22" i="17" s="1"/>
  <c r="Y22" i="17" s="1"/>
  <c r="J29" i="17"/>
  <c r="L29" i="17" s="1"/>
  <c r="K45" i="17"/>
  <c r="K46" i="17"/>
  <c r="K47" i="17"/>
  <c r="P47" i="17" s="1"/>
  <c r="K48" i="17"/>
  <c r="K49" i="17"/>
  <c r="I98" i="17"/>
  <c r="J97" i="17"/>
  <c r="K97" i="17" s="1"/>
  <c r="L97" i="17" s="1"/>
  <c r="U50" i="17"/>
  <c r="V50" i="17" s="1"/>
  <c r="X50" i="17"/>
  <c r="Y50" i="17" s="1"/>
  <c r="J51" i="17"/>
  <c r="L51" i="17" s="1"/>
  <c r="I52" i="17"/>
  <c r="K51" i="17"/>
  <c r="K24" i="17"/>
  <c r="P24" i="17" s="1"/>
  <c r="K19" i="17"/>
  <c r="P19" i="17" s="1"/>
  <c r="K25" i="17"/>
  <c r="K20" i="17"/>
  <c r="P20" i="17" s="1"/>
  <c r="K21" i="17"/>
  <c r="P21" i="17" s="1"/>
  <c r="K10" i="17"/>
  <c r="P10" i="17" s="1"/>
  <c r="K11" i="17"/>
  <c r="P11" i="17" s="1"/>
  <c r="K26" i="17"/>
  <c r="K9" i="17"/>
  <c r="P9" i="17" s="1"/>
  <c r="K8" i="17"/>
  <c r="P8" i="17" s="1"/>
  <c r="K12" i="17"/>
  <c r="P12" i="17" s="1"/>
  <c r="K27" i="17"/>
  <c r="K22" i="17"/>
  <c r="P22" i="17" s="1"/>
  <c r="K28" i="17"/>
  <c r="K23" i="17"/>
  <c r="P23" i="17" s="1"/>
  <c r="K29" i="17"/>
  <c r="J25" i="17"/>
  <c r="L25" i="17" s="1"/>
  <c r="J19" i="17"/>
  <c r="L19" i="17" s="1"/>
  <c r="J24" i="17"/>
  <c r="L24" i="17" s="1"/>
  <c r="J20" i="17"/>
  <c r="L20" i="17" s="1"/>
  <c r="J26" i="17"/>
  <c r="L26" i="17" s="1"/>
  <c r="J21" i="17"/>
  <c r="L21" i="17" s="1"/>
  <c r="J8" i="17"/>
  <c r="L8" i="17" s="1"/>
  <c r="J12" i="17"/>
  <c r="L12" i="17" s="1"/>
  <c r="J27" i="17"/>
  <c r="L27" i="17" s="1"/>
  <c r="J22" i="17"/>
  <c r="L22" i="17" s="1"/>
  <c r="J10" i="17"/>
  <c r="L10" i="17" s="1"/>
  <c r="J9" i="17"/>
  <c r="L9" i="17" s="1"/>
  <c r="J11" i="17"/>
  <c r="L11" i="17" s="1"/>
  <c r="J23" i="17"/>
  <c r="J28" i="17"/>
  <c r="L28" i="17" s="1"/>
  <c r="J30" i="17"/>
  <c r="L30" i="17" s="1"/>
  <c r="K30" i="17"/>
  <c r="I31" i="17"/>
  <c r="H46" i="8"/>
  <c r="I46" i="8" s="1"/>
  <c r="J46" i="8" s="1"/>
  <c r="H49" i="8"/>
  <c r="I49" i="8" s="1"/>
  <c r="H47" i="8"/>
  <c r="I47" i="8" s="1"/>
  <c r="J47" i="8" s="1"/>
  <c r="H48" i="8"/>
  <c r="I48" i="8" s="1"/>
  <c r="J48" i="8" s="1"/>
  <c r="H45" i="8"/>
  <c r="I45" i="8" s="1"/>
  <c r="J45" i="8" s="1"/>
  <c r="H20" i="8"/>
  <c r="I20" i="8" s="1"/>
  <c r="J20" i="8" s="1"/>
  <c r="H24" i="8"/>
  <c r="I24" i="8" s="1"/>
  <c r="H9" i="8"/>
  <c r="I9" i="8" s="1"/>
  <c r="J9" i="8" s="1"/>
  <c r="H8" i="8"/>
  <c r="I8" i="8" s="1"/>
  <c r="J8" i="8" s="1"/>
  <c r="H26" i="8"/>
  <c r="H11" i="8"/>
  <c r="I11" i="8" s="1"/>
  <c r="J11" i="8" s="1"/>
  <c r="H23" i="8"/>
  <c r="I23" i="8" s="1"/>
  <c r="H19" i="8"/>
  <c r="I19" i="8" s="1"/>
  <c r="J19" i="8" s="1"/>
  <c r="H21" i="8"/>
  <c r="I21" i="8" s="1"/>
  <c r="J21" i="8" s="1"/>
  <c r="H25" i="8"/>
  <c r="I25" i="8" s="1"/>
  <c r="H10" i="8"/>
  <c r="I10" i="8" s="1"/>
  <c r="J10" i="8" s="1"/>
  <c r="H22" i="8"/>
  <c r="H12" i="8"/>
  <c r="I91" i="8"/>
  <c r="J91" i="8" s="1"/>
  <c r="L91" i="8" s="1"/>
  <c r="I93" i="8"/>
  <c r="J93" i="8" s="1"/>
  <c r="I92" i="8"/>
  <c r="J92" i="8" s="1"/>
  <c r="I22" i="8"/>
  <c r="J22" i="8" s="1"/>
  <c r="V44" i="8"/>
  <c r="W44" i="8" s="1"/>
  <c r="X44" i="8" s="1"/>
  <c r="Y44" i="8" s="1"/>
  <c r="S45" i="8"/>
  <c r="S44" i="8"/>
  <c r="U44" i="8" s="1"/>
  <c r="S18" i="8"/>
  <c r="U18" i="8" s="1"/>
  <c r="S19" i="8"/>
  <c r="S8" i="8"/>
  <c r="G50" i="8"/>
  <c r="H50" i="8" s="1"/>
  <c r="G27" i="8"/>
  <c r="H27" i="8" s="1"/>
  <c r="H94" i="8"/>
  <c r="I94" i="8" s="1"/>
  <c r="J94" i="8" s="1"/>
  <c r="E9" i="5"/>
  <c r="T8" i="8"/>
  <c r="D23" i="7"/>
  <c r="G22" i="7"/>
  <c r="J22" i="7" s="1"/>
  <c r="K22" i="7" s="1"/>
  <c r="P25" i="19" l="1"/>
  <c r="R25" i="19" s="1"/>
  <c r="P51" i="19"/>
  <c r="R51" i="19" s="1"/>
  <c r="Y27" i="19"/>
  <c r="X28" i="19" s="1"/>
  <c r="V27" i="19"/>
  <c r="U28" i="19" s="1"/>
  <c r="U53" i="19"/>
  <c r="V53" i="19"/>
  <c r="X50" i="19"/>
  <c r="AA51" i="19"/>
  <c r="AB51" i="19"/>
  <c r="J99" i="19"/>
  <c r="K99" i="19" s="1"/>
  <c r="L99" i="19" s="1"/>
  <c r="I100" i="19"/>
  <c r="P46" i="17"/>
  <c r="R46" i="17" s="1"/>
  <c r="S46" i="17" s="1"/>
  <c r="AC46" i="17" s="1"/>
  <c r="AD46" i="17" s="1"/>
  <c r="AE46" i="17" s="1"/>
  <c r="AF46" i="17" s="1"/>
  <c r="R50" i="17"/>
  <c r="O11" i="8"/>
  <c r="Q11" i="8" s="1"/>
  <c r="P48" i="17"/>
  <c r="R48" i="17" s="1"/>
  <c r="S48" i="17" s="1"/>
  <c r="AC48" i="17" s="1"/>
  <c r="AD48" i="17" s="1"/>
  <c r="AE48" i="17" s="1"/>
  <c r="AF48" i="17" s="1"/>
  <c r="P45" i="17"/>
  <c r="R45" i="17" s="1"/>
  <c r="S45" i="17" s="1"/>
  <c r="P49" i="17"/>
  <c r="R49" i="17" s="1"/>
  <c r="L25" i="7"/>
  <c r="P51" i="17"/>
  <c r="R51" i="17" s="1"/>
  <c r="P25" i="17"/>
  <c r="R25" i="17" s="1"/>
  <c r="AA21" i="17"/>
  <c r="AB21" i="17" s="1"/>
  <c r="AA22" i="17" s="1"/>
  <c r="AB22" i="17" s="1"/>
  <c r="AA23" i="17" s="1"/>
  <c r="AB23" i="17" s="1"/>
  <c r="AA24" i="17" s="1"/>
  <c r="AB24" i="17" s="1"/>
  <c r="L23" i="17"/>
  <c r="R23" i="17" s="1"/>
  <c r="X23" i="17"/>
  <c r="Y23" i="17" s="1"/>
  <c r="U22" i="17"/>
  <c r="V22" i="17" s="1"/>
  <c r="R47" i="17"/>
  <c r="S47" i="17" s="1"/>
  <c r="AC47" i="17" s="1"/>
  <c r="AD47" i="17" s="1"/>
  <c r="AE47" i="17" s="1"/>
  <c r="AF47" i="17" s="1"/>
  <c r="L91" i="17"/>
  <c r="N93" i="17" s="1"/>
  <c r="J98" i="17"/>
  <c r="K98" i="17" s="1"/>
  <c r="L98" i="17" s="1"/>
  <c r="I99" i="17"/>
  <c r="X51" i="17"/>
  <c r="Y51" i="17" s="1"/>
  <c r="U51" i="17"/>
  <c r="V51" i="17" s="1"/>
  <c r="AA51" i="17"/>
  <c r="AB51" i="17" s="1"/>
  <c r="I53" i="17"/>
  <c r="K52" i="17"/>
  <c r="J52" i="17"/>
  <c r="L52" i="17" s="1"/>
  <c r="O8" i="8"/>
  <c r="Q8" i="8" s="1"/>
  <c r="R8" i="8" s="1"/>
  <c r="V8" i="8" s="1"/>
  <c r="W8" i="8" s="1"/>
  <c r="X8" i="8" s="1"/>
  <c r="R19" i="17"/>
  <c r="R8" i="17"/>
  <c r="S8" i="17" s="1"/>
  <c r="AC8" i="17" s="1"/>
  <c r="AD8" i="17" s="1"/>
  <c r="AE8" i="17" s="1"/>
  <c r="AF8" i="17" s="1"/>
  <c r="R10" i="17"/>
  <c r="S10" i="17" s="1"/>
  <c r="AC10" i="17" s="1"/>
  <c r="AD10" i="17" s="1"/>
  <c r="AE10" i="17" s="1"/>
  <c r="AF10" i="17" s="1"/>
  <c r="R22" i="17"/>
  <c r="R9" i="17"/>
  <c r="S9" i="17" s="1"/>
  <c r="AC9" i="17" s="1"/>
  <c r="AD9" i="17" s="1"/>
  <c r="AE9" i="17" s="1"/>
  <c r="R21" i="17"/>
  <c r="S21" i="17" s="1"/>
  <c r="R11" i="17"/>
  <c r="S11" i="17" s="1"/>
  <c r="AC11" i="17" s="1"/>
  <c r="AD11" i="17" s="1"/>
  <c r="AE11" i="17" s="1"/>
  <c r="AF11" i="17" s="1"/>
  <c r="R20" i="17"/>
  <c r="R24" i="17"/>
  <c r="I32" i="17"/>
  <c r="J31" i="17"/>
  <c r="L31" i="17" s="1"/>
  <c r="K31" i="17"/>
  <c r="L93" i="8"/>
  <c r="L92" i="8"/>
  <c r="O24" i="8"/>
  <c r="O10" i="8"/>
  <c r="O9" i="8"/>
  <c r="P47" i="8"/>
  <c r="Q47" i="8" s="1"/>
  <c r="R47" i="8" s="1"/>
  <c r="J23" i="8"/>
  <c r="Q23" i="8" s="1"/>
  <c r="AA12" i="17"/>
  <c r="AB12" i="17" s="1"/>
  <c r="J49" i="8"/>
  <c r="Q49" i="8" s="1"/>
  <c r="U8" i="8"/>
  <c r="T9" i="8" s="1"/>
  <c r="T45" i="8"/>
  <c r="U45" i="8" s="1"/>
  <c r="T46" i="8" s="1"/>
  <c r="U46" i="8" s="1"/>
  <c r="T47" i="8" s="1"/>
  <c r="U47" i="8" s="1"/>
  <c r="T48" i="8" s="1"/>
  <c r="U48" i="8" s="1"/>
  <c r="T49" i="8" s="1"/>
  <c r="U49" i="8" s="1"/>
  <c r="T50" i="8" s="1"/>
  <c r="U50" i="8" s="1"/>
  <c r="T19" i="8"/>
  <c r="U19" i="8" s="1"/>
  <c r="R11" i="8"/>
  <c r="P46" i="8"/>
  <c r="Q46" i="8" s="1"/>
  <c r="R46" i="8" s="1"/>
  <c r="L94" i="8"/>
  <c r="P45" i="8"/>
  <c r="Q45" i="8" s="1"/>
  <c r="R45" i="8" s="1"/>
  <c r="G51" i="8"/>
  <c r="H51" i="8" s="1"/>
  <c r="P48" i="8"/>
  <c r="Q48" i="8" s="1"/>
  <c r="R48" i="8" s="1"/>
  <c r="O25" i="8"/>
  <c r="O22" i="8"/>
  <c r="O20" i="8"/>
  <c r="Q20" i="8" s="1"/>
  <c r="R20" i="8" s="1"/>
  <c r="O21" i="8"/>
  <c r="Q21" i="8" s="1"/>
  <c r="R21" i="8" s="1"/>
  <c r="O19" i="8"/>
  <c r="Q19" i="8" s="1"/>
  <c r="R19" i="8" s="1"/>
  <c r="I26" i="8"/>
  <c r="G28" i="8"/>
  <c r="H28" i="8" s="1"/>
  <c r="H95" i="8"/>
  <c r="I95" i="8" s="1"/>
  <c r="J95" i="8" s="1"/>
  <c r="I12" i="8"/>
  <c r="J12" i="8" s="1"/>
  <c r="Y7" i="8"/>
  <c r="D10" i="5"/>
  <c r="D24" i="7"/>
  <c r="G23" i="7"/>
  <c r="J23" i="7" s="1"/>
  <c r="K23" i="7" s="1"/>
  <c r="J24" i="8" s="1"/>
  <c r="S49" i="19" l="1"/>
  <c r="AC49" i="19" s="1"/>
  <c r="AD49" i="19" s="1"/>
  <c r="AE49" i="19" s="1"/>
  <c r="AF49" i="19" s="1"/>
  <c r="S12" i="19"/>
  <c r="AC12" i="19" s="1"/>
  <c r="AD12" i="19" s="1"/>
  <c r="AE12" i="19" s="1"/>
  <c r="S23" i="19"/>
  <c r="AC23" i="19" s="1"/>
  <c r="AD23" i="19" s="1"/>
  <c r="AE23" i="19" s="1"/>
  <c r="AF23" i="19" s="1"/>
  <c r="R49" i="8"/>
  <c r="V49" i="8" s="1"/>
  <c r="W49" i="8" s="1"/>
  <c r="X49" i="8" s="1"/>
  <c r="Y49" i="8" s="1"/>
  <c r="R23" i="8"/>
  <c r="S23" i="17"/>
  <c r="S49" i="17"/>
  <c r="AC49" i="17" s="1"/>
  <c r="AD49" i="17" s="1"/>
  <c r="AE49" i="17" s="1"/>
  <c r="AF49" i="17" s="1"/>
  <c r="N96" i="17"/>
  <c r="N94" i="17"/>
  <c r="Y50" i="19"/>
  <c r="P52" i="19"/>
  <c r="R52" i="19" s="1"/>
  <c r="P26" i="19"/>
  <c r="R26" i="19" s="1"/>
  <c r="N92" i="17"/>
  <c r="N95" i="17"/>
  <c r="N91" i="17"/>
  <c r="N97" i="17"/>
  <c r="N98" i="17"/>
  <c r="V28" i="19"/>
  <c r="U29" i="19" s="1"/>
  <c r="Y28" i="19"/>
  <c r="X29" i="19" s="1"/>
  <c r="AB25" i="19"/>
  <c r="AA26" i="19" s="1"/>
  <c r="I101" i="19"/>
  <c r="J100" i="19"/>
  <c r="K100" i="19" s="1"/>
  <c r="L100" i="19" s="1"/>
  <c r="AA52" i="19"/>
  <c r="U54" i="19"/>
  <c r="V54" i="19" s="1"/>
  <c r="X51" i="19"/>
  <c r="AC45" i="17"/>
  <c r="AD45" i="17" s="1"/>
  <c r="AE45" i="17" s="1"/>
  <c r="AF45" i="17" s="1"/>
  <c r="L26" i="7"/>
  <c r="P52" i="17"/>
  <c r="R52" i="17" s="1"/>
  <c r="P26" i="17"/>
  <c r="R26" i="17" s="1"/>
  <c r="U23" i="17"/>
  <c r="V23" i="17" s="1"/>
  <c r="U24" i="17" s="1"/>
  <c r="V24" i="17" s="1"/>
  <c r="X24" i="17"/>
  <c r="Y24" i="17" s="1"/>
  <c r="X25" i="17" s="1"/>
  <c r="Y25" i="17" s="1"/>
  <c r="X26" i="17" s="1"/>
  <c r="Y26" i="17" s="1"/>
  <c r="AA25" i="17"/>
  <c r="AB25" i="17" s="1"/>
  <c r="I100" i="17"/>
  <c r="J99" i="17"/>
  <c r="U52" i="17"/>
  <c r="V52" i="17" s="1"/>
  <c r="AA52" i="17"/>
  <c r="AB52" i="17" s="1"/>
  <c r="X52" i="17"/>
  <c r="Y52" i="17" s="1"/>
  <c r="J53" i="17"/>
  <c r="L53" i="17" s="1"/>
  <c r="K53" i="17"/>
  <c r="I54" i="17"/>
  <c r="S22" i="17"/>
  <c r="AC22" i="17" s="1"/>
  <c r="AD22" i="17" s="1"/>
  <c r="AE22" i="17" s="1"/>
  <c r="AF22" i="17" s="1"/>
  <c r="S20" i="17"/>
  <c r="AC20" i="17" s="1"/>
  <c r="AD20" i="17" s="1"/>
  <c r="AE20" i="17" s="1"/>
  <c r="AF20" i="17" s="1"/>
  <c r="S19" i="17"/>
  <c r="AC19" i="17" s="1"/>
  <c r="AD19" i="17" s="1"/>
  <c r="Q22" i="8"/>
  <c r="R22" i="8" s="1"/>
  <c r="Q9" i="8"/>
  <c r="R9" i="8" s="1"/>
  <c r="V9" i="8" s="1"/>
  <c r="W9" i="8" s="1"/>
  <c r="X9" i="8" s="1"/>
  <c r="Y9" i="8" s="1"/>
  <c r="Q10" i="8"/>
  <c r="R10" i="8" s="1"/>
  <c r="AC21" i="17"/>
  <c r="AD21" i="17" s="1"/>
  <c r="AE21" i="17" s="1"/>
  <c r="AF21" i="17" s="1"/>
  <c r="Q24" i="8"/>
  <c r="J32" i="17"/>
  <c r="L32" i="17" s="1"/>
  <c r="K32" i="17"/>
  <c r="I33" i="17"/>
  <c r="AF9" i="17"/>
  <c r="T20" i="8"/>
  <c r="U20" i="8" s="1"/>
  <c r="V48" i="8"/>
  <c r="W48" i="8" s="1"/>
  <c r="X48" i="8" s="1"/>
  <c r="V47" i="8"/>
  <c r="W47" i="8" s="1"/>
  <c r="X47" i="8" s="1"/>
  <c r="Y47" i="8" s="1"/>
  <c r="V46" i="8"/>
  <c r="W46" i="8" s="1"/>
  <c r="X46" i="8" s="1"/>
  <c r="Y46" i="8" s="1"/>
  <c r="L95" i="8"/>
  <c r="V19" i="8"/>
  <c r="W19" i="8" s="1"/>
  <c r="X19" i="8" s="1"/>
  <c r="Y19" i="8" s="1"/>
  <c r="T51" i="8"/>
  <c r="U51" i="8" s="1"/>
  <c r="I50" i="8"/>
  <c r="J50" i="8" s="1"/>
  <c r="G52" i="8"/>
  <c r="H52" i="8" s="1"/>
  <c r="G29" i="8"/>
  <c r="H29" i="8" s="1"/>
  <c r="I27" i="8"/>
  <c r="O26" i="8"/>
  <c r="H96" i="8"/>
  <c r="I96" i="8" s="1"/>
  <c r="J96" i="8" s="1"/>
  <c r="L96" i="8" s="1"/>
  <c r="U9" i="8"/>
  <c r="T10" i="8" s="1"/>
  <c r="Y8" i="8"/>
  <c r="D25" i="7"/>
  <c r="G24" i="7"/>
  <c r="J24" i="7" s="1"/>
  <c r="K24" i="7" s="1"/>
  <c r="J25" i="8" s="1"/>
  <c r="Q25" i="8" s="1"/>
  <c r="E10" i="5"/>
  <c r="H5" i="5"/>
  <c r="D11" i="5"/>
  <c r="S24" i="17" s="1"/>
  <c r="R24" i="8" l="1"/>
  <c r="S50" i="17"/>
  <c r="AC50" i="17" s="1"/>
  <c r="AD50" i="17" s="1"/>
  <c r="AE50" i="17" s="1"/>
  <c r="AF50" i="17" s="1"/>
  <c r="E11" i="5"/>
  <c r="S50" i="19"/>
  <c r="AC50" i="19" s="1"/>
  <c r="AD50" i="19" s="1"/>
  <c r="AE50" i="19" s="1"/>
  <c r="AF50" i="19" s="1"/>
  <c r="S24" i="19"/>
  <c r="AC24" i="19" s="1"/>
  <c r="AD24" i="19" s="1"/>
  <c r="AE24" i="19" s="1"/>
  <c r="AF24" i="19" s="1"/>
  <c r="AF12" i="19"/>
  <c r="AI4" i="19"/>
  <c r="P53" i="19"/>
  <c r="R53" i="19" s="1"/>
  <c r="P27" i="19"/>
  <c r="R27" i="19" s="1"/>
  <c r="Y51" i="19"/>
  <c r="X52" i="19" s="1"/>
  <c r="Y52" i="19" s="1"/>
  <c r="U55" i="19"/>
  <c r="V55" i="19" s="1"/>
  <c r="V29" i="19"/>
  <c r="U30" i="19" s="1"/>
  <c r="I102" i="19"/>
  <c r="J101" i="19"/>
  <c r="K101" i="19" s="1"/>
  <c r="L101" i="19" s="1"/>
  <c r="AB52" i="19"/>
  <c r="Y29" i="19"/>
  <c r="X30" i="19" s="1"/>
  <c r="K99" i="17"/>
  <c r="AC23" i="17"/>
  <c r="AD23" i="17" s="1"/>
  <c r="AE23" i="17" s="1"/>
  <c r="AF23" i="17" s="1"/>
  <c r="L27" i="7"/>
  <c r="P27" i="17"/>
  <c r="R27" i="17" s="1"/>
  <c r="P53" i="17"/>
  <c r="R53" i="17" s="1"/>
  <c r="U25" i="17"/>
  <c r="V25" i="17" s="1"/>
  <c r="AA26" i="17"/>
  <c r="AB26" i="17" s="1"/>
  <c r="X27" i="17"/>
  <c r="Y27" i="17" s="1"/>
  <c r="X28" i="17" s="1"/>
  <c r="Y28" i="17" s="1"/>
  <c r="X29" i="17" s="1"/>
  <c r="Y29" i="17" s="1"/>
  <c r="X30" i="17" s="1"/>
  <c r="Y30" i="17" s="1"/>
  <c r="AC24" i="17"/>
  <c r="AD24" i="17" s="1"/>
  <c r="AE24" i="17" s="1"/>
  <c r="AF24" i="17" s="1"/>
  <c r="J100" i="17"/>
  <c r="K100" i="17" s="1"/>
  <c r="L100" i="17" s="1"/>
  <c r="I101" i="17"/>
  <c r="X53" i="17"/>
  <c r="Y53" i="17" s="1"/>
  <c r="U53" i="17"/>
  <c r="V53" i="17" s="1"/>
  <c r="AA53" i="17"/>
  <c r="K54" i="17"/>
  <c r="J54" i="17"/>
  <c r="L54" i="17" s="1"/>
  <c r="I55" i="17"/>
  <c r="AE19" i="17"/>
  <c r="AF19" i="17" s="1"/>
  <c r="V10" i="8"/>
  <c r="W10" i="8" s="1"/>
  <c r="X10" i="8" s="1"/>
  <c r="Y10" i="8" s="1"/>
  <c r="K33" i="17"/>
  <c r="I34" i="17"/>
  <c r="J33" i="17"/>
  <c r="L33" i="17" s="1"/>
  <c r="V20" i="8"/>
  <c r="W20" i="8" s="1"/>
  <c r="X20" i="8" s="1"/>
  <c r="Y20" i="8" s="1"/>
  <c r="T21" i="8"/>
  <c r="V21" i="8" s="1"/>
  <c r="W21" i="8" s="1"/>
  <c r="X21" i="8" s="1"/>
  <c r="Y21" i="8" s="1"/>
  <c r="V45" i="8"/>
  <c r="W45" i="8" s="1"/>
  <c r="X45" i="8" s="1"/>
  <c r="Y45" i="8" s="1"/>
  <c r="Y48" i="8"/>
  <c r="T52" i="8"/>
  <c r="U52" i="8" s="1"/>
  <c r="P50" i="8"/>
  <c r="Q50" i="8" s="1"/>
  <c r="I51" i="8"/>
  <c r="J51" i="8" s="1"/>
  <c r="G53" i="8"/>
  <c r="H53" i="8" s="1"/>
  <c r="G30" i="8"/>
  <c r="H30" i="8" s="1"/>
  <c r="O27" i="8"/>
  <c r="I28" i="8"/>
  <c r="H97" i="8"/>
  <c r="I97" i="8" s="1"/>
  <c r="J97" i="8" s="1"/>
  <c r="U10" i="8"/>
  <c r="I5" i="5"/>
  <c r="H11" i="5" s="1"/>
  <c r="D12" i="5"/>
  <c r="R25" i="8" s="1"/>
  <c r="G25" i="7"/>
  <c r="J25" i="7" s="1"/>
  <c r="K25" i="7" s="1"/>
  <c r="J26" i="8" s="1"/>
  <c r="Q26" i="8" s="1"/>
  <c r="D26" i="7"/>
  <c r="AI5" i="19" l="1"/>
  <c r="AI6" i="19"/>
  <c r="AI7" i="19" s="1"/>
  <c r="S25" i="17"/>
  <c r="S51" i="19"/>
  <c r="AC51" i="19" s="1"/>
  <c r="AD51" i="19" s="1"/>
  <c r="AE51" i="19" s="1"/>
  <c r="AF51" i="19" s="1"/>
  <c r="S51" i="17"/>
  <c r="AC51" i="17" s="1"/>
  <c r="AD51" i="17" s="1"/>
  <c r="AE51" i="17" s="1"/>
  <c r="AF51" i="17" s="1"/>
  <c r="S25" i="19"/>
  <c r="AC25" i="19" s="1"/>
  <c r="AD25" i="19" s="1"/>
  <c r="AE25" i="19" s="1"/>
  <c r="AF25" i="19" s="1"/>
  <c r="P54" i="19"/>
  <c r="R54" i="19" s="1"/>
  <c r="P28" i="19"/>
  <c r="R28" i="19" s="1"/>
  <c r="Y30" i="19"/>
  <c r="X31" i="19" s="1"/>
  <c r="X53" i="19"/>
  <c r="Y53" i="19" s="1"/>
  <c r="V30" i="19"/>
  <c r="U31" i="19" s="1"/>
  <c r="AB26" i="19"/>
  <c r="AA27" i="19" s="1"/>
  <c r="J102" i="19"/>
  <c r="K102" i="19" s="1"/>
  <c r="L102" i="19" s="1"/>
  <c r="I103" i="19"/>
  <c r="U56" i="19"/>
  <c r="V56" i="19" s="1"/>
  <c r="AA53" i="19"/>
  <c r="AB53" i="19" s="1"/>
  <c r="AC25" i="17"/>
  <c r="AD25" i="17" s="1"/>
  <c r="AE25" i="17" s="1"/>
  <c r="AF25" i="17" s="1"/>
  <c r="L99" i="17"/>
  <c r="N100" i="17" s="1"/>
  <c r="L28" i="7"/>
  <c r="P54" i="17"/>
  <c r="R54" i="17" s="1"/>
  <c r="P28" i="17"/>
  <c r="R28" i="17" s="1"/>
  <c r="U26" i="17"/>
  <c r="V26" i="17" s="1"/>
  <c r="X31" i="17"/>
  <c r="Y31" i="17" s="1"/>
  <c r="X32" i="17" s="1"/>
  <c r="Y32" i="17" s="1"/>
  <c r="X33" i="17" s="1"/>
  <c r="Y33" i="17" s="1"/>
  <c r="X34" i="17" s="1"/>
  <c r="Y34" i="17" s="1"/>
  <c r="AA27" i="17"/>
  <c r="I102" i="17"/>
  <c r="J101" i="17"/>
  <c r="K101" i="17" s="1"/>
  <c r="L101" i="17" s="1"/>
  <c r="U54" i="17"/>
  <c r="V54" i="17" s="1"/>
  <c r="X54" i="17"/>
  <c r="Y54" i="17" s="1"/>
  <c r="K55" i="17"/>
  <c r="J55" i="17"/>
  <c r="L55" i="17" s="1"/>
  <c r="I56" i="17"/>
  <c r="AB53" i="17"/>
  <c r="R50" i="8"/>
  <c r="V50" i="8" s="1"/>
  <c r="W50" i="8" s="1"/>
  <c r="X50" i="8" s="1"/>
  <c r="J34" i="17"/>
  <c r="L34" i="17" s="1"/>
  <c r="K34" i="17"/>
  <c r="I35" i="17"/>
  <c r="U21" i="8"/>
  <c r="T22" i="8" s="1"/>
  <c r="V22" i="8" s="1"/>
  <c r="W22" i="8" s="1"/>
  <c r="X22" i="8" s="1"/>
  <c r="Y22" i="8" s="1"/>
  <c r="L97" i="8"/>
  <c r="G54" i="8"/>
  <c r="H54" i="8" s="1"/>
  <c r="T53" i="8"/>
  <c r="U53" i="8" s="1"/>
  <c r="I52" i="8"/>
  <c r="J52" i="8" s="1"/>
  <c r="P51" i="8"/>
  <c r="Q51" i="8" s="1"/>
  <c r="O28" i="8"/>
  <c r="I29" i="8"/>
  <c r="G31" i="8"/>
  <c r="H31" i="8" s="1"/>
  <c r="H98" i="8"/>
  <c r="I98" i="8" s="1"/>
  <c r="J98" i="8" s="1"/>
  <c r="D13" i="5"/>
  <c r="D27" i="7"/>
  <c r="G26" i="7"/>
  <c r="J26" i="7" s="1"/>
  <c r="K26" i="7" s="1"/>
  <c r="J27" i="8" s="1"/>
  <c r="Q27" i="8" s="1"/>
  <c r="E12" i="5"/>
  <c r="T11" i="8"/>
  <c r="V11" i="8" s="1"/>
  <c r="W11" i="8" s="1"/>
  <c r="X11" i="8" s="1"/>
  <c r="E13" i="5" l="1"/>
  <c r="S52" i="17"/>
  <c r="S52" i="19"/>
  <c r="AC52" i="19" s="1"/>
  <c r="AD52" i="19" s="1"/>
  <c r="AE52" i="19" s="1"/>
  <c r="AF52" i="19" s="1"/>
  <c r="S26" i="19"/>
  <c r="AC26" i="19" s="1"/>
  <c r="AD26" i="19" s="1"/>
  <c r="AE26" i="19" s="1"/>
  <c r="AF26" i="19" s="1"/>
  <c r="S26" i="17"/>
  <c r="R26" i="8"/>
  <c r="P29" i="19"/>
  <c r="R29" i="19" s="1"/>
  <c r="P55" i="19"/>
  <c r="R55" i="19" s="1"/>
  <c r="N99" i="17"/>
  <c r="N101" i="17"/>
  <c r="V31" i="19"/>
  <c r="U32" i="19" s="1"/>
  <c r="X54" i="19"/>
  <c r="Y54" i="19" s="1"/>
  <c r="Y31" i="19"/>
  <c r="X32" i="19" s="1"/>
  <c r="AA54" i="19"/>
  <c r="AB54" i="19" s="1"/>
  <c r="J103" i="19"/>
  <c r="K103" i="19" s="1"/>
  <c r="L103" i="19" s="1"/>
  <c r="I104" i="19"/>
  <c r="U57" i="19"/>
  <c r="V57" i="19" s="1"/>
  <c r="L29" i="7"/>
  <c r="P55" i="17"/>
  <c r="R55" i="17" s="1"/>
  <c r="P29" i="17"/>
  <c r="R29" i="17" s="1"/>
  <c r="U27" i="17"/>
  <c r="AB27" i="17"/>
  <c r="AA28" i="17" s="1"/>
  <c r="AC26" i="17"/>
  <c r="AD26" i="17" s="1"/>
  <c r="AE26" i="17" s="1"/>
  <c r="AF26" i="17" s="1"/>
  <c r="I103" i="17"/>
  <c r="J102" i="17"/>
  <c r="X55" i="17"/>
  <c r="Y55" i="17" s="1"/>
  <c r="AA54" i="17"/>
  <c r="I57" i="17"/>
  <c r="K56" i="17"/>
  <c r="J56" i="17"/>
  <c r="L56" i="17" s="1"/>
  <c r="U55" i="17"/>
  <c r="V55" i="17" s="1"/>
  <c r="R51" i="8"/>
  <c r="V51" i="8" s="1"/>
  <c r="W51" i="8" s="1"/>
  <c r="X51" i="8" s="1"/>
  <c r="Y51" i="8" s="1"/>
  <c r="J35" i="17"/>
  <c r="L35" i="17" s="1"/>
  <c r="I36" i="17"/>
  <c r="I37" i="17" s="1"/>
  <c r="K35" i="17"/>
  <c r="X35" i="17"/>
  <c r="Y35" i="17" s="1"/>
  <c r="U22" i="8"/>
  <c r="T23" i="8" s="1"/>
  <c r="U23" i="8" s="1"/>
  <c r="T24" i="8" s="1"/>
  <c r="V24" i="8" s="1"/>
  <c r="W24" i="8" s="1"/>
  <c r="X24" i="8" s="1"/>
  <c r="Y24" i="8" s="1"/>
  <c r="L98" i="8"/>
  <c r="Y50" i="8"/>
  <c r="P52" i="8"/>
  <c r="Q52" i="8" s="1"/>
  <c r="I53" i="8"/>
  <c r="J53" i="8" s="1"/>
  <c r="T54" i="8"/>
  <c r="U54" i="8" s="1"/>
  <c r="G55" i="8"/>
  <c r="H55" i="8" s="1"/>
  <c r="O29" i="8"/>
  <c r="I30" i="8"/>
  <c r="G32" i="8"/>
  <c r="H32" i="8" s="1"/>
  <c r="H99" i="8"/>
  <c r="I99" i="8" s="1"/>
  <c r="J99" i="8" s="1"/>
  <c r="U11" i="8"/>
  <c r="T12" i="8" s="1"/>
  <c r="Y11" i="8"/>
  <c r="D14" i="5"/>
  <c r="R27" i="8" s="1"/>
  <c r="D28" i="7"/>
  <c r="G27" i="7"/>
  <c r="J27" i="7" s="1"/>
  <c r="K27" i="7" s="1"/>
  <c r="J28" i="8" s="1"/>
  <c r="Q28" i="8" s="1"/>
  <c r="AC52" i="17" l="1"/>
  <c r="AD52" i="17" s="1"/>
  <c r="AE52" i="17" s="1"/>
  <c r="AF52" i="17" s="1"/>
  <c r="S53" i="17"/>
  <c r="AC53" i="17" s="1"/>
  <c r="AD53" i="17" s="1"/>
  <c r="AE53" i="17" s="1"/>
  <c r="AF53" i="17" s="1"/>
  <c r="S27" i="17"/>
  <c r="AC27" i="17" s="1"/>
  <c r="AD27" i="17" s="1"/>
  <c r="AE27" i="17" s="1"/>
  <c r="AF27" i="17" s="1"/>
  <c r="S53" i="19"/>
  <c r="AC53" i="19" s="1"/>
  <c r="AD53" i="19" s="1"/>
  <c r="AE53" i="19" s="1"/>
  <c r="AF53" i="19" s="1"/>
  <c r="S27" i="19"/>
  <c r="AC27" i="19" s="1"/>
  <c r="AD27" i="19" s="1"/>
  <c r="AE27" i="19" s="1"/>
  <c r="AF27" i="19" s="1"/>
  <c r="P56" i="19"/>
  <c r="R56" i="19" s="1"/>
  <c r="P30" i="19"/>
  <c r="R30" i="19" s="1"/>
  <c r="AB54" i="17"/>
  <c r="X55" i="19"/>
  <c r="Y55" i="19" s="1"/>
  <c r="AA55" i="19"/>
  <c r="AB55" i="19" s="1"/>
  <c r="AB27" i="19"/>
  <c r="AA28" i="19" s="1"/>
  <c r="V32" i="19"/>
  <c r="U33" i="19" s="1"/>
  <c r="Y32" i="19"/>
  <c r="X33" i="19" s="1"/>
  <c r="U58" i="19"/>
  <c r="V58" i="19" s="1"/>
  <c r="I105" i="19"/>
  <c r="J104" i="19"/>
  <c r="K104" i="19" s="1"/>
  <c r="L104" i="19" s="1"/>
  <c r="I38" i="17"/>
  <c r="K37" i="17"/>
  <c r="J37" i="17"/>
  <c r="L37" i="17" s="1"/>
  <c r="K102" i="17"/>
  <c r="V27" i="17"/>
  <c r="U28" i="17" s="1"/>
  <c r="V28" i="17" s="1"/>
  <c r="U29" i="17" s="1"/>
  <c r="V29" i="17" s="1"/>
  <c r="L30" i="7"/>
  <c r="P30" i="17"/>
  <c r="R30" i="17" s="1"/>
  <c r="P56" i="17"/>
  <c r="R56" i="17" s="1"/>
  <c r="AB28" i="17"/>
  <c r="AA29" i="17" s="1"/>
  <c r="I104" i="17"/>
  <c r="J103" i="17"/>
  <c r="K103" i="17" s="1"/>
  <c r="L103" i="17" s="1"/>
  <c r="X56" i="17"/>
  <c r="Y56" i="17" s="1"/>
  <c r="U56" i="17"/>
  <c r="V56" i="17" s="1"/>
  <c r="AA55" i="17"/>
  <c r="I58" i="17"/>
  <c r="K57" i="17"/>
  <c r="J57" i="17"/>
  <c r="L57" i="17" s="1"/>
  <c r="R52" i="8"/>
  <c r="V52" i="8" s="1"/>
  <c r="W52" i="8" s="1"/>
  <c r="X36" i="17"/>
  <c r="Y36" i="17" s="1"/>
  <c r="K36" i="17"/>
  <c r="J36" i="17"/>
  <c r="L36" i="17" s="1"/>
  <c r="V23" i="8"/>
  <c r="W23" i="8" s="1"/>
  <c r="X23" i="8" s="1"/>
  <c r="Y23" i="8" s="1"/>
  <c r="U24" i="8"/>
  <c r="T25" i="8" s="1"/>
  <c r="V25" i="8" s="1"/>
  <c r="W25" i="8" s="1"/>
  <c r="X25" i="8" s="1"/>
  <c r="Y25" i="8" s="1"/>
  <c r="L99" i="8"/>
  <c r="T55" i="8"/>
  <c r="U55" i="8" s="1"/>
  <c r="I54" i="8"/>
  <c r="J54" i="8" s="1"/>
  <c r="G56" i="8"/>
  <c r="H56" i="8" s="1"/>
  <c r="P53" i="8"/>
  <c r="Q53" i="8" s="1"/>
  <c r="O30" i="8"/>
  <c r="G33" i="8"/>
  <c r="H33" i="8" s="1"/>
  <c r="I31" i="8"/>
  <c r="H100" i="8"/>
  <c r="I100" i="8" s="1"/>
  <c r="J100" i="8" s="1"/>
  <c r="U12" i="8"/>
  <c r="P12" i="8" s="1"/>
  <c r="Q12" i="8" s="1"/>
  <c r="D15" i="5"/>
  <c r="E14" i="5"/>
  <c r="D29" i="7"/>
  <c r="G28" i="7"/>
  <c r="J28" i="7" s="1"/>
  <c r="K28" i="7" s="1"/>
  <c r="J29" i="8" s="1"/>
  <c r="Q29" i="8" s="1"/>
  <c r="E15" i="5" l="1"/>
  <c r="S28" i="17"/>
  <c r="S54" i="19"/>
  <c r="AC54" i="19" s="1"/>
  <c r="AD54" i="19" s="1"/>
  <c r="AE54" i="19" s="1"/>
  <c r="AF54" i="19" s="1"/>
  <c r="S54" i="17"/>
  <c r="S28" i="19"/>
  <c r="AC28" i="19" s="1"/>
  <c r="AD28" i="19" s="1"/>
  <c r="AE28" i="19" s="1"/>
  <c r="AF28" i="19" s="1"/>
  <c r="R28" i="8"/>
  <c r="P31" i="19"/>
  <c r="R31" i="19" s="1"/>
  <c r="P57" i="19"/>
  <c r="R57" i="19" s="1"/>
  <c r="Y33" i="19"/>
  <c r="X34" i="19" s="1"/>
  <c r="U59" i="19"/>
  <c r="V59" i="19" s="1"/>
  <c r="V33" i="19"/>
  <c r="U34" i="19" s="1"/>
  <c r="X56" i="19"/>
  <c r="Y56" i="19" s="1"/>
  <c r="AA56" i="19"/>
  <c r="I106" i="19"/>
  <c r="J105" i="19"/>
  <c r="K105" i="19" s="1"/>
  <c r="L105" i="19" s="1"/>
  <c r="L102" i="17"/>
  <c r="J38" i="17"/>
  <c r="L38" i="17" s="1"/>
  <c r="K38" i="17"/>
  <c r="AB55" i="17"/>
  <c r="AA56" i="17" s="1"/>
  <c r="AB56" i="17" s="1"/>
  <c r="AC28" i="17"/>
  <c r="AD28" i="17" s="1"/>
  <c r="AE28" i="17" s="1"/>
  <c r="AF28" i="17" s="1"/>
  <c r="L31" i="7"/>
  <c r="P31" i="17"/>
  <c r="R31" i="17" s="1"/>
  <c r="P57" i="17"/>
  <c r="R57" i="17" s="1"/>
  <c r="U30" i="17"/>
  <c r="V30" i="17" s="1"/>
  <c r="U31" i="17" s="1"/>
  <c r="V31" i="17" s="1"/>
  <c r="U32" i="17" s="1"/>
  <c r="V32" i="17" s="1"/>
  <c r="U33" i="17" s="1"/>
  <c r="V33" i="17" s="1"/>
  <c r="U34" i="17" s="1"/>
  <c r="V34" i="17" s="1"/>
  <c r="U35" i="17" s="1"/>
  <c r="V35" i="17" s="1"/>
  <c r="U36" i="17" s="1"/>
  <c r="V36" i="17" s="1"/>
  <c r="U37" i="17" s="1"/>
  <c r="AB29" i="17"/>
  <c r="AA30" i="17" s="1"/>
  <c r="J104" i="17"/>
  <c r="K104" i="17" s="1"/>
  <c r="L104" i="17" s="1"/>
  <c r="N104" i="17" s="1"/>
  <c r="I105" i="17"/>
  <c r="U57" i="17"/>
  <c r="V57" i="17" s="1"/>
  <c r="I59" i="17"/>
  <c r="K58" i="17"/>
  <c r="J58" i="17"/>
  <c r="L58" i="17" s="1"/>
  <c r="X57" i="17"/>
  <c r="Y57" i="17" s="1"/>
  <c r="X52" i="8"/>
  <c r="Y52" i="8" s="1"/>
  <c r="R53" i="8"/>
  <c r="V53" i="8" s="1"/>
  <c r="W53" i="8" s="1"/>
  <c r="X53" i="8" s="1"/>
  <c r="Y53" i="8" s="1"/>
  <c r="X37" i="17"/>
  <c r="Y37" i="17" s="1"/>
  <c r="X38" i="17" s="1"/>
  <c r="Y38" i="17" s="1"/>
  <c r="R12" i="8"/>
  <c r="V12" i="8" s="1"/>
  <c r="W12" i="8" s="1"/>
  <c r="X12" i="8" s="1"/>
  <c r="V28" i="8"/>
  <c r="W28" i="8" s="1"/>
  <c r="X28" i="8" s="1"/>
  <c r="Y28" i="8" s="1"/>
  <c r="U25" i="8"/>
  <c r="T26" i="8" s="1"/>
  <c r="V26" i="8" s="1"/>
  <c r="W26" i="8" s="1"/>
  <c r="X26" i="8" s="1"/>
  <c r="L100" i="8"/>
  <c r="T56" i="8"/>
  <c r="U56" i="8" s="1"/>
  <c r="P54" i="8"/>
  <c r="Q54" i="8" s="1"/>
  <c r="I55" i="8"/>
  <c r="J55" i="8" s="1"/>
  <c r="G57" i="8"/>
  <c r="H57" i="8" s="1"/>
  <c r="O31" i="8"/>
  <c r="G34" i="8"/>
  <c r="H34" i="8" s="1"/>
  <c r="I32" i="8"/>
  <c r="H101" i="8"/>
  <c r="I101" i="8" s="1"/>
  <c r="J101" i="8" s="1"/>
  <c r="L101" i="8" s="1"/>
  <c r="D16" i="5"/>
  <c r="R29" i="8" s="1"/>
  <c r="G29" i="7"/>
  <c r="J29" i="7" s="1"/>
  <c r="K29" i="7" s="1"/>
  <c r="J30" i="8" s="1"/>
  <c r="Q30" i="8" s="1"/>
  <c r="D30" i="7"/>
  <c r="E16" i="5" l="1"/>
  <c r="S55" i="19"/>
  <c r="AC55" i="19" s="1"/>
  <c r="AD55" i="19" s="1"/>
  <c r="AE55" i="19" s="1"/>
  <c r="AF55" i="19" s="1"/>
  <c r="S29" i="19"/>
  <c r="S29" i="17"/>
  <c r="AC29" i="17" s="1"/>
  <c r="AD29" i="17" s="1"/>
  <c r="AE29" i="17" s="1"/>
  <c r="AF29" i="17" s="1"/>
  <c r="S55" i="17"/>
  <c r="AC55" i="17" s="1"/>
  <c r="AD55" i="17" s="1"/>
  <c r="AE55" i="17" s="1"/>
  <c r="AF55" i="17" s="1"/>
  <c r="AC54" i="17"/>
  <c r="AD54" i="17" s="1"/>
  <c r="AE54" i="17" s="1"/>
  <c r="AF54" i="17" s="1"/>
  <c r="P58" i="19"/>
  <c r="R58" i="19" s="1"/>
  <c r="P32" i="19"/>
  <c r="R32" i="19" s="1"/>
  <c r="N102" i="17"/>
  <c r="N103" i="17"/>
  <c r="AB28" i="19"/>
  <c r="U60" i="19"/>
  <c r="V60" i="19" s="1"/>
  <c r="V34" i="19"/>
  <c r="U35" i="19" s="1"/>
  <c r="Y34" i="19"/>
  <c r="X35" i="19" s="1"/>
  <c r="X57" i="19"/>
  <c r="Y57" i="19" s="1"/>
  <c r="J106" i="19"/>
  <c r="K106" i="19" s="1"/>
  <c r="L106" i="19" s="1"/>
  <c r="I107" i="19"/>
  <c r="AB56" i="19"/>
  <c r="L32" i="7"/>
  <c r="P58" i="17"/>
  <c r="R58" i="17" s="1"/>
  <c r="P32" i="17"/>
  <c r="R32" i="17" s="1"/>
  <c r="V37" i="17"/>
  <c r="U38" i="17" s="1"/>
  <c r="V38" i="17" s="1"/>
  <c r="AB30" i="17"/>
  <c r="I106" i="17"/>
  <c r="J105" i="17"/>
  <c r="AA57" i="17"/>
  <c r="AB57" i="17" s="1"/>
  <c r="U58" i="17"/>
  <c r="V58" i="17" s="1"/>
  <c r="X58" i="17"/>
  <c r="Y58" i="17" s="1"/>
  <c r="J59" i="17"/>
  <c r="L59" i="17" s="1"/>
  <c r="I60" i="17"/>
  <c r="K59" i="17"/>
  <c r="R54" i="8"/>
  <c r="V54" i="8" s="1"/>
  <c r="W54" i="8" s="1"/>
  <c r="Y12" i="8"/>
  <c r="AB6" i="8" s="1"/>
  <c r="AB7" i="8" s="1"/>
  <c r="AB4" i="8"/>
  <c r="Y26" i="8"/>
  <c r="T57" i="8"/>
  <c r="U57" i="8" s="1"/>
  <c r="I56" i="8"/>
  <c r="J56" i="8" s="1"/>
  <c r="P55" i="8"/>
  <c r="Q55" i="8" s="1"/>
  <c r="G58" i="8"/>
  <c r="H58" i="8" s="1"/>
  <c r="G35" i="8"/>
  <c r="H35" i="8" s="1"/>
  <c r="O32" i="8"/>
  <c r="I33" i="8"/>
  <c r="U26" i="8"/>
  <c r="H102" i="8"/>
  <c r="I102" i="8" s="1"/>
  <c r="J102" i="8" s="1"/>
  <c r="L102" i="8" s="1"/>
  <c r="D31" i="7"/>
  <c r="G30" i="7"/>
  <c r="J30" i="7" s="1"/>
  <c r="K30" i="7" s="1"/>
  <c r="J31" i="8" s="1"/>
  <c r="Q31" i="8" s="1"/>
  <c r="D17" i="5"/>
  <c r="E17" i="5" l="1"/>
  <c r="S30" i="17"/>
  <c r="AC30" i="17" s="1"/>
  <c r="AD30" i="17" s="1"/>
  <c r="AE30" i="17" s="1"/>
  <c r="AF30" i="17" s="1"/>
  <c r="S30" i="19"/>
  <c r="S56" i="17"/>
  <c r="AC56" i="17" s="1"/>
  <c r="AD56" i="17" s="1"/>
  <c r="AE56" i="17" s="1"/>
  <c r="AF56" i="17" s="1"/>
  <c r="S56" i="19"/>
  <c r="AC56" i="19" s="1"/>
  <c r="AD56" i="19" s="1"/>
  <c r="AE56" i="19" s="1"/>
  <c r="AF56" i="19" s="1"/>
  <c r="R30" i="8"/>
  <c r="AA29" i="19"/>
  <c r="AC29" i="19" s="1"/>
  <c r="AD29" i="19" s="1"/>
  <c r="AE29" i="19" s="1"/>
  <c r="AF29" i="19" s="1"/>
  <c r="P59" i="19"/>
  <c r="R59" i="19" s="1"/>
  <c r="P33" i="19"/>
  <c r="R33" i="19" s="1"/>
  <c r="AB5" i="8"/>
  <c r="X58" i="19"/>
  <c r="Y58" i="19" s="1"/>
  <c r="Y35" i="19"/>
  <c r="X36" i="19" s="1"/>
  <c r="V35" i="19"/>
  <c r="U36" i="19" s="1"/>
  <c r="U61" i="19"/>
  <c r="V61" i="19" s="1"/>
  <c r="AA57" i="19"/>
  <c r="J107" i="19"/>
  <c r="K107" i="19" s="1"/>
  <c r="L107" i="19" s="1"/>
  <c r="I108" i="19"/>
  <c r="K105" i="17"/>
  <c r="L33" i="7"/>
  <c r="P59" i="17"/>
  <c r="R59" i="17" s="1"/>
  <c r="P33" i="17"/>
  <c r="R33" i="17" s="1"/>
  <c r="AA31" i="17"/>
  <c r="J106" i="17"/>
  <c r="K106" i="17" s="1"/>
  <c r="L106" i="17" s="1"/>
  <c r="I107" i="17"/>
  <c r="U59" i="17"/>
  <c r="V59" i="17" s="1"/>
  <c r="AA58" i="17"/>
  <c r="X59" i="17"/>
  <c r="Y59" i="17" s="1"/>
  <c r="I61" i="17"/>
  <c r="K60" i="17"/>
  <c r="J60" i="17"/>
  <c r="L60" i="17" s="1"/>
  <c r="R55" i="8"/>
  <c r="V55" i="8" s="1"/>
  <c r="W55" i="8" s="1"/>
  <c r="X54" i="8"/>
  <c r="Y54" i="8" s="1"/>
  <c r="T58" i="8"/>
  <c r="U58" i="8" s="1"/>
  <c r="G59" i="8"/>
  <c r="H59" i="8" s="1"/>
  <c r="P56" i="8"/>
  <c r="Q56" i="8" s="1"/>
  <c r="I57" i="8"/>
  <c r="J57" i="8" s="1"/>
  <c r="O33" i="8"/>
  <c r="T27" i="8"/>
  <c r="V27" i="8" s="1"/>
  <c r="W27" i="8" s="1"/>
  <c r="X27" i="8" s="1"/>
  <c r="I34" i="8"/>
  <c r="G36" i="8"/>
  <c r="H36" i="8" s="1"/>
  <c r="H103" i="8"/>
  <c r="I103" i="8" s="1"/>
  <c r="J103" i="8" s="1"/>
  <c r="L103" i="8" s="1"/>
  <c r="D18" i="5"/>
  <c r="R31" i="8" s="1"/>
  <c r="D32" i="7"/>
  <c r="G31" i="7"/>
  <c r="J31" i="7" s="1"/>
  <c r="K31" i="7" s="1"/>
  <c r="J32" i="8" s="1"/>
  <c r="Q32" i="8" s="1"/>
  <c r="E18" i="5" l="1"/>
  <c r="S57" i="17"/>
  <c r="AC57" i="17" s="1"/>
  <c r="AD57" i="17" s="1"/>
  <c r="AE57" i="17" s="1"/>
  <c r="AF57" i="17" s="1"/>
  <c r="S57" i="19"/>
  <c r="AC57" i="19" s="1"/>
  <c r="AD57" i="19" s="1"/>
  <c r="AE57" i="19" s="1"/>
  <c r="AF57" i="19" s="1"/>
  <c r="S31" i="17"/>
  <c r="AC31" i="17" s="1"/>
  <c r="AD31" i="17" s="1"/>
  <c r="AE31" i="17" s="1"/>
  <c r="AF31" i="17" s="1"/>
  <c r="S31" i="19"/>
  <c r="AB29" i="19"/>
  <c r="P60" i="19"/>
  <c r="R60" i="19" s="1"/>
  <c r="P34" i="19"/>
  <c r="R34" i="19" s="1"/>
  <c r="Y36" i="19"/>
  <c r="X37" i="19" s="1"/>
  <c r="X59" i="19"/>
  <c r="Y59" i="19" s="1"/>
  <c r="U62" i="19"/>
  <c r="V62" i="19" s="1"/>
  <c r="I109" i="19"/>
  <c r="J108" i="19"/>
  <c r="K108" i="19" s="1"/>
  <c r="L108" i="19" s="1"/>
  <c r="V36" i="19"/>
  <c r="U37" i="19" s="1"/>
  <c r="AB57" i="19"/>
  <c r="L105" i="17"/>
  <c r="N105" i="17" s="1"/>
  <c r="AB31" i="17"/>
  <c r="AA32" i="17" s="1"/>
  <c r="L34" i="7"/>
  <c r="P34" i="17"/>
  <c r="R34" i="17" s="1"/>
  <c r="P60" i="17"/>
  <c r="R60" i="17" s="1"/>
  <c r="I108" i="17"/>
  <c r="J107" i="17"/>
  <c r="K107" i="17" s="1"/>
  <c r="L107" i="17" s="1"/>
  <c r="U60" i="17"/>
  <c r="V60" i="17" s="1"/>
  <c r="AB58" i="17"/>
  <c r="K61" i="17"/>
  <c r="J61" i="17"/>
  <c r="L61" i="17" s="1"/>
  <c r="I62" i="17"/>
  <c r="X60" i="17"/>
  <c r="Y60" i="17" s="1"/>
  <c r="R56" i="8"/>
  <c r="V56" i="8" s="1"/>
  <c r="W56" i="8" s="1"/>
  <c r="X55" i="8"/>
  <c r="Y55" i="8" s="1"/>
  <c r="Y27" i="8"/>
  <c r="U27" i="8"/>
  <c r="T28" i="8" s="1"/>
  <c r="U28" i="8" s="1"/>
  <c r="T59" i="8"/>
  <c r="U59" i="8" s="1"/>
  <c r="I58" i="8"/>
  <c r="J58" i="8" s="1"/>
  <c r="P57" i="8"/>
  <c r="Q57" i="8" s="1"/>
  <c r="G60" i="8"/>
  <c r="H60" i="8" s="1"/>
  <c r="O34" i="8"/>
  <c r="G37" i="8"/>
  <c r="H37" i="8" s="1"/>
  <c r="I35" i="8"/>
  <c r="H104" i="8"/>
  <c r="I104" i="8" s="1"/>
  <c r="J104" i="8" s="1"/>
  <c r="L104" i="8" s="1"/>
  <c r="D19" i="5"/>
  <c r="R32" i="8" s="1"/>
  <c r="D33" i="7"/>
  <c r="G32" i="7"/>
  <c r="J32" i="7" s="1"/>
  <c r="K32" i="7" s="1"/>
  <c r="J33" i="8" s="1"/>
  <c r="Q33" i="8" s="1"/>
  <c r="E19" i="5" l="1"/>
  <c r="S58" i="17"/>
  <c r="AC58" i="17" s="1"/>
  <c r="AD58" i="17" s="1"/>
  <c r="AE58" i="17" s="1"/>
  <c r="AF58" i="17" s="1"/>
  <c r="S32" i="17"/>
  <c r="AC32" i="17" s="1"/>
  <c r="AD32" i="17" s="1"/>
  <c r="AE32" i="17" s="1"/>
  <c r="AF32" i="17" s="1"/>
  <c r="S58" i="19"/>
  <c r="S32" i="19"/>
  <c r="N107" i="17"/>
  <c r="AA30" i="19"/>
  <c r="AB30" i="19" s="1"/>
  <c r="AA31" i="19" s="1"/>
  <c r="P61" i="19"/>
  <c r="R61" i="19" s="1"/>
  <c r="P35" i="19"/>
  <c r="R35" i="19" s="1"/>
  <c r="N106" i="17"/>
  <c r="V37" i="19"/>
  <c r="U38" i="19" s="1"/>
  <c r="U63" i="19"/>
  <c r="V63" i="19" s="1"/>
  <c r="X60" i="19"/>
  <c r="Y60" i="19" s="1"/>
  <c r="Y37" i="19"/>
  <c r="X38" i="19" s="1"/>
  <c r="I110" i="19"/>
  <c r="J109" i="19"/>
  <c r="K109" i="19" s="1"/>
  <c r="L109" i="19" s="1"/>
  <c r="AC31" i="19"/>
  <c r="AD31" i="19" s="1"/>
  <c r="AE31" i="19" s="1"/>
  <c r="AF31" i="19" s="1"/>
  <c r="AA58" i="19"/>
  <c r="AB32" i="17"/>
  <c r="AA33" i="17" s="1"/>
  <c r="L35" i="7"/>
  <c r="P35" i="17"/>
  <c r="R35" i="17" s="1"/>
  <c r="P61" i="17"/>
  <c r="R61" i="17" s="1"/>
  <c r="J108" i="17"/>
  <c r="K108" i="17" s="1"/>
  <c r="L108" i="17" s="1"/>
  <c r="N108" i="17" s="1"/>
  <c r="I109" i="17"/>
  <c r="U61" i="17"/>
  <c r="V61" i="17" s="1"/>
  <c r="I63" i="17"/>
  <c r="K62" i="17"/>
  <c r="J62" i="17"/>
  <c r="L62" i="17" s="1"/>
  <c r="X61" i="17"/>
  <c r="Y61" i="17" s="1"/>
  <c r="AA59" i="17"/>
  <c r="X56" i="8"/>
  <c r="Y56" i="8" s="1"/>
  <c r="R57" i="8"/>
  <c r="V57" i="8" s="1"/>
  <c r="W57" i="8" s="1"/>
  <c r="X57" i="8" s="1"/>
  <c r="Y57" i="8" s="1"/>
  <c r="T60" i="8"/>
  <c r="U60" i="8" s="1"/>
  <c r="I59" i="8"/>
  <c r="J59" i="8" s="1"/>
  <c r="P58" i="8"/>
  <c r="Q58" i="8" s="1"/>
  <c r="G61" i="8"/>
  <c r="H61" i="8" s="1"/>
  <c r="O35" i="8"/>
  <c r="T29" i="8"/>
  <c r="V29" i="8" s="1"/>
  <c r="W29" i="8" s="1"/>
  <c r="X29" i="8" s="1"/>
  <c r="I36" i="8"/>
  <c r="G38" i="8"/>
  <c r="H105" i="8"/>
  <c r="I105" i="8" s="1"/>
  <c r="J105" i="8" s="1"/>
  <c r="L105" i="8" s="1"/>
  <c r="D20" i="5"/>
  <c r="R33" i="8" s="1"/>
  <c r="G33" i="7"/>
  <c r="J33" i="7" s="1"/>
  <c r="K33" i="7" s="1"/>
  <c r="J34" i="8" s="1"/>
  <c r="Q34" i="8" s="1"/>
  <c r="D34" i="7"/>
  <c r="AC58" i="19" l="1"/>
  <c r="AD58" i="19" s="1"/>
  <c r="AE58" i="19" s="1"/>
  <c r="AF58" i="19" s="1"/>
  <c r="E20" i="5"/>
  <c r="S59" i="17"/>
  <c r="AC59" i="17" s="1"/>
  <c r="AD59" i="17" s="1"/>
  <c r="AE59" i="17" s="1"/>
  <c r="AF59" i="17" s="1"/>
  <c r="S59" i="19"/>
  <c r="S33" i="19"/>
  <c r="S33" i="17"/>
  <c r="AC33" i="17"/>
  <c r="AD33" i="17" s="1"/>
  <c r="AE33" i="17" s="1"/>
  <c r="AF33" i="17" s="1"/>
  <c r="AC30" i="19"/>
  <c r="AD30" i="19" s="1"/>
  <c r="AE30" i="19" s="1"/>
  <c r="AF30" i="19" s="1"/>
  <c r="P36" i="19"/>
  <c r="R36" i="19" s="1"/>
  <c r="P62" i="19"/>
  <c r="R62" i="19" s="1"/>
  <c r="U64" i="19"/>
  <c r="V64" i="19" s="1"/>
  <c r="Y38" i="19"/>
  <c r="AB31" i="19"/>
  <c r="AA32" i="19" s="1"/>
  <c r="X61" i="19"/>
  <c r="Y61" i="19" s="1"/>
  <c r="V38" i="19"/>
  <c r="AB58" i="19"/>
  <c r="J110" i="19"/>
  <c r="K110" i="19" s="1"/>
  <c r="L110" i="19" s="1"/>
  <c r="I111" i="19"/>
  <c r="AB33" i="17"/>
  <c r="AA34" i="17" s="1"/>
  <c r="AB34" i="17" s="1"/>
  <c r="AA35" i="17" s="1"/>
  <c r="AB59" i="17"/>
  <c r="L36" i="7"/>
  <c r="P62" i="17"/>
  <c r="R62" i="17" s="1"/>
  <c r="P36" i="17"/>
  <c r="R36" i="17" s="1"/>
  <c r="I110" i="17"/>
  <c r="J109" i="17"/>
  <c r="K109" i="17" s="1"/>
  <c r="L109" i="17" s="1"/>
  <c r="N109" i="17" s="1"/>
  <c r="X62" i="17"/>
  <c r="Y62" i="17" s="1"/>
  <c r="U62" i="17"/>
  <c r="V62" i="17" s="1"/>
  <c r="AA60" i="17"/>
  <c r="I64" i="17"/>
  <c r="I65" i="17" s="1"/>
  <c r="K63" i="17"/>
  <c r="J63" i="17"/>
  <c r="L63" i="17" s="1"/>
  <c r="R58" i="8"/>
  <c r="V58" i="8" s="1"/>
  <c r="W58" i="8" s="1"/>
  <c r="H38" i="8"/>
  <c r="I38" i="8" s="1"/>
  <c r="Y29" i="8"/>
  <c r="P59" i="8"/>
  <c r="Q59" i="8" s="1"/>
  <c r="R59" i="8" s="1"/>
  <c r="I60" i="8"/>
  <c r="J60" i="8" s="1"/>
  <c r="G62" i="8"/>
  <c r="H62" i="8" s="1"/>
  <c r="T61" i="8"/>
  <c r="U61" i="8" s="1"/>
  <c r="O36" i="8"/>
  <c r="I37" i="8"/>
  <c r="U29" i="8"/>
  <c r="H106" i="8"/>
  <c r="I106" i="8" s="1"/>
  <c r="J106" i="8" s="1"/>
  <c r="L106" i="8" s="1"/>
  <c r="D35" i="7"/>
  <c r="G34" i="7"/>
  <c r="J34" i="7" s="1"/>
  <c r="K34" i="7" s="1"/>
  <c r="J35" i="8" s="1"/>
  <c r="Q35" i="8" s="1"/>
  <c r="D21" i="5"/>
  <c r="E21" i="5" l="1"/>
  <c r="S60" i="17"/>
  <c r="S60" i="19"/>
  <c r="S34" i="19"/>
  <c r="S34" i="17"/>
  <c r="AC60" i="17"/>
  <c r="AD60" i="17" s="1"/>
  <c r="AE60" i="17" s="1"/>
  <c r="AF60" i="17" s="1"/>
  <c r="R34" i="8"/>
  <c r="P63" i="19"/>
  <c r="R63" i="19" s="1"/>
  <c r="P37" i="19"/>
  <c r="R37" i="19" s="1"/>
  <c r="X62" i="19"/>
  <c r="Y62" i="19" s="1"/>
  <c r="U65" i="19"/>
  <c r="V65" i="19" s="1"/>
  <c r="J111" i="19"/>
  <c r="K111" i="19" s="1"/>
  <c r="L111" i="19" s="1"/>
  <c r="I112" i="19"/>
  <c r="AA59" i="19"/>
  <c r="AC59" i="19" s="1"/>
  <c r="AD59" i="19" s="1"/>
  <c r="AE59" i="19" s="1"/>
  <c r="AF59" i="19" s="1"/>
  <c r="AC32" i="19"/>
  <c r="AD32" i="19" s="1"/>
  <c r="AE32" i="19" s="1"/>
  <c r="AF32" i="19" s="1"/>
  <c r="AC34" i="17"/>
  <c r="AD34" i="17" s="1"/>
  <c r="AE34" i="17" s="1"/>
  <c r="AF34" i="17" s="1"/>
  <c r="I66" i="17"/>
  <c r="J65" i="17"/>
  <c r="L65" i="17" s="1"/>
  <c r="K65" i="17"/>
  <c r="L37" i="7"/>
  <c r="P63" i="17"/>
  <c r="P37" i="17"/>
  <c r="R37" i="17" s="1"/>
  <c r="AB35" i="17"/>
  <c r="AA36" i="17" s="1"/>
  <c r="J110" i="17"/>
  <c r="K110" i="17" s="1"/>
  <c r="L110" i="17" s="1"/>
  <c r="N110" i="17" s="1"/>
  <c r="I111" i="17"/>
  <c r="U63" i="17"/>
  <c r="V63" i="17" s="1"/>
  <c r="X63" i="17"/>
  <c r="Y63" i="17" s="1"/>
  <c r="R63" i="17"/>
  <c r="AB60" i="17"/>
  <c r="K64" i="17"/>
  <c r="J64" i="17"/>
  <c r="L64" i="17" s="1"/>
  <c r="X58" i="8"/>
  <c r="Y58" i="8" s="1"/>
  <c r="V59" i="8"/>
  <c r="W59" i="8" s="1"/>
  <c r="X59" i="8" s="1"/>
  <c r="Y59" i="8" s="1"/>
  <c r="T62" i="8"/>
  <c r="U62" i="8" s="1"/>
  <c r="P60" i="8"/>
  <c r="Q60" i="8" s="1"/>
  <c r="I61" i="8"/>
  <c r="J61" i="8" s="1"/>
  <c r="G63" i="8"/>
  <c r="H63" i="8" s="1"/>
  <c r="O37" i="8"/>
  <c r="T30" i="8"/>
  <c r="V30" i="8" s="1"/>
  <c r="W30" i="8" s="1"/>
  <c r="X30" i="8" s="1"/>
  <c r="Y30" i="8" s="1"/>
  <c r="H107" i="8"/>
  <c r="I107" i="8" s="1"/>
  <c r="J107" i="8" s="1"/>
  <c r="L107" i="8" s="1"/>
  <c r="D22" i="5"/>
  <c r="R35" i="8" s="1"/>
  <c r="D36" i="7"/>
  <c r="G35" i="7"/>
  <c r="J35" i="7" s="1"/>
  <c r="K35" i="7" s="1"/>
  <c r="J36" i="8" s="1"/>
  <c r="Q36" i="8" s="1"/>
  <c r="E22" i="5" l="1"/>
  <c r="S35" i="17"/>
  <c r="AC35" i="17" s="1"/>
  <c r="AD35" i="17" s="1"/>
  <c r="AE35" i="17" s="1"/>
  <c r="AF35" i="17" s="1"/>
  <c r="S35" i="19"/>
  <c r="S61" i="17"/>
  <c r="S61" i="19"/>
  <c r="P38" i="19"/>
  <c r="P64" i="19"/>
  <c r="R64" i="19" s="1"/>
  <c r="X63" i="19"/>
  <c r="Y63" i="19" s="1"/>
  <c r="U66" i="19"/>
  <c r="V66" i="19" s="1"/>
  <c r="I113" i="19"/>
  <c r="J112" i="19"/>
  <c r="K112" i="19" s="1"/>
  <c r="L112" i="19" s="1"/>
  <c r="AB32" i="19"/>
  <c r="AA33" i="19" s="1"/>
  <c r="AB59" i="19"/>
  <c r="I67" i="17"/>
  <c r="J66" i="17"/>
  <c r="L66" i="17" s="1"/>
  <c r="K66" i="17"/>
  <c r="L38" i="7"/>
  <c r="P65" i="19" s="1"/>
  <c r="R65" i="19" s="1"/>
  <c r="P64" i="17"/>
  <c r="P38" i="17"/>
  <c r="AB36" i="17"/>
  <c r="AA37" i="17" s="1"/>
  <c r="I112" i="17"/>
  <c r="J111" i="17"/>
  <c r="K111" i="17" s="1"/>
  <c r="L111" i="17" s="1"/>
  <c r="N111" i="17" s="1"/>
  <c r="X64" i="17"/>
  <c r="Y64" i="17" s="1"/>
  <c r="X65" i="17" s="1"/>
  <c r="Y65" i="17" s="1"/>
  <c r="AA61" i="17"/>
  <c r="U64" i="17"/>
  <c r="V64" i="17" s="1"/>
  <c r="R60" i="8"/>
  <c r="V60" i="8" s="1"/>
  <c r="W60" i="8" s="1"/>
  <c r="T63" i="8"/>
  <c r="U63" i="8" s="1"/>
  <c r="G64" i="8"/>
  <c r="H64" i="8" s="1"/>
  <c r="I62" i="8"/>
  <c r="J62" i="8" s="1"/>
  <c r="P61" i="8"/>
  <c r="Q61" i="8" s="1"/>
  <c r="U30" i="8"/>
  <c r="H108" i="8"/>
  <c r="I108" i="8" s="1"/>
  <c r="J108" i="8" s="1"/>
  <c r="L108" i="8" s="1"/>
  <c r="D23" i="5"/>
  <c r="R36" i="8" s="1"/>
  <c r="D37" i="7"/>
  <c r="G36" i="7"/>
  <c r="J36" i="7" s="1"/>
  <c r="K36" i="7" s="1"/>
  <c r="J37" i="8" s="1"/>
  <c r="Q37" i="8" s="1"/>
  <c r="AC61" i="17" l="1"/>
  <c r="AD61" i="17" s="1"/>
  <c r="AE61" i="17" s="1"/>
  <c r="AF61" i="17" s="1"/>
  <c r="E23" i="5"/>
  <c r="S62" i="17"/>
  <c r="S36" i="19"/>
  <c r="S62" i="19"/>
  <c r="S36" i="17"/>
  <c r="AC36" i="17" s="1"/>
  <c r="AD36" i="17" s="1"/>
  <c r="AE36" i="17" s="1"/>
  <c r="AF36" i="17" s="1"/>
  <c r="X64" i="19"/>
  <c r="Y64" i="19" s="1"/>
  <c r="AA60" i="19"/>
  <c r="AC60" i="19" s="1"/>
  <c r="AD60" i="19" s="1"/>
  <c r="AE60" i="19" s="1"/>
  <c r="AF60" i="19" s="1"/>
  <c r="U67" i="19"/>
  <c r="V67" i="19" s="1"/>
  <c r="AC33" i="19"/>
  <c r="AD33" i="19" s="1"/>
  <c r="AE33" i="19" s="1"/>
  <c r="I114" i="19"/>
  <c r="J113" i="19"/>
  <c r="K113" i="19" s="1"/>
  <c r="L113" i="19" s="1"/>
  <c r="I68" i="17"/>
  <c r="K67" i="17"/>
  <c r="J67" i="17"/>
  <c r="L67" i="17" s="1"/>
  <c r="L39" i="7"/>
  <c r="P66" i="19" s="1"/>
  <c r="R66" i="19" s="1"/>
  <c r="P65" i="17"/>
  <c r="R65" i="17" s="1"/>
  <c r="X66" i="17"/>
  <c r="Y66" i="17" s="1"/>
  <c r="X67" i="17" s="1"/>
  <c r="Y67" i="17" s="1"/>
  <c r="X68" i="17" s="1"/>
  <c r="Y68" i="17" s="1"/>
  <c r="X69" i="17" s="1"/>
  <c r="Y69" i="17" s="1"/>
  <c r="X70" i="17" s="1"/>
  <c r="Y70" i="17" s="1"/>
  <c r="X71" i="17" s="1"/>
  <c r="Y71" i="17" s="1"/>
  <c r="X72" i="17" s="1"/>
  <c r="Y72" i="17" s="1"/>
  <c r="X73" i="17" s="1"/>
  <c r="Y73" i="17" s="1"/>
  <c r="AB37" i="17"/>
  <c r="AA38" i="17" s="1"/>
  <c r="AB38" i="17" s="1"/>
  <c r="Q38" i="17" s="1"/>
  <c r="R38" i="17" s="1"/>
  <c r="J112" i="17"/>
  <c r="K112" i="17" s="1"/>
  <c r="L112" i="17" s="1"/>
  <c r="N112" i="17" s="1"/>
  <c r="I113" i="17"/>
  <c r="U65" i="17"/>
  <c r="AB61" i="17"/>
  <c r="R61" i="8"/>
  <c r="V61" i="8" s="1"/>
  <c r="W61" i="8" s="1"/>
  <c r="X60" i="8"/>
  <c r="Y60" i="8" s="1"/>
  <c r="T64" i="8"/>
  <c r="U64" i="8" s="1"/>
  <c r="I64" i="8"/>
  <c r="G65" i="8"/>
  <c r="H65" i="8" s="1"/>
  <c r="P62" i="8"/>
  <c r="Q62" i="8" s="1"/>
  <c r="I63" i="8"/>
  <c r="J63" i="8" s="1"/>
  <c r="T31" i="8"/>
  <c r="V31" i="8" s="1"/>
  <c r="W31" i="8" s="1"/>
  <c r="X31" i="8" s="1"/>
  <c r="Y31" i="8" s="1"/>
  <c r="H109" i="8"/>
  <c r="I109" i="8" s="1"/>
  <c r="J109" i="8" s="1"/>
  <c r="L109" i="8" s="1"/>
  <c r="G37" i="7"/>
  <c r="J37" i="7" s="1"/>
  <c r="K37" i="7" s="1"/>
  <c r="J38" i="8" s="1"/>
  <c r="D38" i="7"/>
  <c r="D24" i="5"/>
  <c r="R37" i="8" s="1"/>
  <c r="E24" i="5" l="1"/>
  <c r="S63" i="19"/>
  <c r="S37" i="19"/>
  <c r="S63" i="17"/>
  <c r="S37" i="17"/>
  <c r="AC37" i="17" s="1"/>
  <c r="AD37" i="17" s="1"/>
  <c r="AE37" i="17" s="1"/>
  <c r="AF37" i="17" s="1"/>
  <c r="AF33" i="19"/>
  <c r="AB33" i="19"/>
  <c r="AA34" i="19" s="1"/>
  <c r="AC34" i="19" s="1"/>
  <c r="AD34" i="19" s="1"/>
  <c r="AE34" i="19" s="1"/>
  <c r="AF34" i="19" s="1"/>
  <c r="U68" i="19"/>
  <c r="V68" i="19" s="1"/>
  <c r="X65" i="19"/>
  <c r="Y65" i="19" s="1"/>
  <c r="AB60" i="19"/>
  <c r="J114" i="19"/>
  <c r="K114" i="19" s="1"/>
  <c r="L114" i="19" s="1"/>
  <c r="I115" i="19"/>
  <c r="I69" i="17"/>
  <c r="K68" i="17"/>
  <c r="J68" i="17"/>
  <c r="L68" i="17" s="1"/>
  <c r="L40" i="7"/>
  <c r="P67" i="19" s="1"/>
  <c r="R67" i="19" s="1"/>
  <c r="P66" i="17"/>
  <c r="R66" i="17" s="1"/>
  <c r="X74" i="17"/>
  <c r="Y74" i="17" s="1"/>
  <c r="I114" i="17"/>
  <c r="J113" i="17"/>
  <c r="K113" i="17" s="1"/>
  <c r="L113" i="17" s="1"/>
  <c r="N113" i="17" s="1"/>
  <c r="V65" i="17"/>
  <c r="AA62" i="17"/>
  <c r="AC62" i="17" s="1"/>
  <c r="AD62" i="17" s="1"/>
  <c r="AE62" i="17" s="1"/>
  <c r="AF62" i="17" s="1"/>
  <c r="R62" i="8"/>
  <c r="V62" i="8" s="1"/>
  <c r="W62" i="8" s="1"/>
  <c r="X61" i="8"/>
  <c r="Y61" i="8" s="1"/>
  <c r="P63" i="8"/>
  <c r="Q63" i="8" s="1"/>
  <c r="J64" i="8"/>
  <c r="Q64" i="8" s="1"/>
  <c r="R64" i="8" s="1"/>
  <c r="U31" i="8"/>
  <c r="T32" i="8" s="1"/>
  <c r="V32" i="8" s="1"/>
  <c r="W32" i="8" s="1"/>
  <c r="X32" i="8" s="1"/>
  <c r="Y32" i="8" s="1"/>
  <c r="T65" i="8"/>
  <c r="U65" i="8" s="1"/>
  <c r="G66" i="8"/>
  <c r="H66" i="8" s="1"/>
  <c r="H110" i="8"/>
  <c r="I110" i="8" s="1"/>
  <c r="J110" i="8" s="1"/>
  <c r="L110" i="8" s="1"/>
  <c r="D39" i="7"/>
  <c r="G38" i="7"/>
  <c r="J38" i="7" s="1"/>
  <c r="K38" i="7" s="1"/>
  <c r="D25" i="5"/>
  <c r="S64" i="19" s="1"/>
  <c r="S38" i="17" l="1"/>
  <c r="AC38" i="17" s="1"/>
  <c r="AD38" i="17" s="1"/>
  <c r="AE38" i="17" s="1"/>
  <c r="X66" i="19"/>
  <c r="Y66" i="19" s="1"/>
  <c r="U69" i="19"/>
  <c r="V69" i="19" s="1"/>
  <c r="AA61" i="19"/>
  <c r="AC61" i="19" s="1"/>
  <c r="AD61" i="19" s="1"/>
  <c r="AE61" i="19" s="1"/>
  <c r="AF61" i="19" s="1"/>
  <c r="J115" i="19"/>
  <c r="K115" i="19" s="1"/>
  <c r="L115" i="19" s="1"/>
  <c r="I116" i="19"/>
  <c r="AB34" i="19"/>
  <c r="AA35" i="19" s="1"/>
  <c r="I70" i="17"/>
  <c r="J69" i="17"/>
  <c r="L69" i="17" s="1"/>
  <c r="K69" i="17"/>
  <c r="L41" i="7"/>
  <c r="P68" i="19" s="1"/>
  <c r="R68" i="19" s="1"/>
  <c r="P67" i="17"/>
  <c r="R67" i="17" s="1"/>
  <c r="X75" i="17"/>
  <c r="Y75" i="17" s="1"/>
  <c r="J114" i="17"/>
  <c r="K114" i="17" s="1"/>
  <c r="L114" i="17" s="1"/>
  <c r="N114" i="17" s="1"/>
  <c r="I115" i="17"/>
  <c r="U66" i="17"/>
  <c r="V66" i="17" s="1"/>
  <c r="U67" i="17" s="1"/>
  <c r="AB62" i="17"/>
  <c r="X62" i="8"/>
  <c r="Y62" i="8" s="1"/>
  <c r="R63" i="8"/>
  <c r="V63" i="8" s="1"/>
  <c r="W63" i="8" s="1"/>
  <c r="X63" i="8" s="1"/>
  <c r="Y63" i="8" s="1"/>
  <c r="T66" i="8"/>
  <c r="U66" i="8" s="1"/>
  <c r="G67" i="8"/>
  <c r="H67" i="8" s="1"/>
  <c r="I65" i="8"/>
  <c r="J65" i="8" s="1"/>
  <c r="U32" i="8"/>
  <c r="H111" i="8"/>
  <c r="I111" i="8" s="1"/>
  <c r="J111" i="8" s="1"/>
  <c r="L111" i="8" s="1"/>
  <c r="E25" i="5"/>
  <c r="I6" i="5" s="1"/>
  <c r="H12" i="5" s="1"/>
  <c r="H6" i="5"/>
  <c r="D26" i="5"/>
  <c r="D40" i="7"/>
  <c r="G39" i="7"/>
  <c r="J39" i="7" s="1"/>
  <c r="K39" i="7" s="1"/>
  <c r="AF38" i="17" l="1"/>
  <c r="AI15" i="17"/>
  <c r="E26" i="5"/>
  <c r="S65" i="19"/>
  <c r="S65" i="17"/>
  <c r="U70" i="19"/>
  <c r="V70" i="19"/>
  <c r="X67" i="19"/>
  <c r="Y67" i="19" s="1"/>
  <c r="I117" i="19"/>
  <c r="J116" i="19"/>
  <c r="K116" i="19" s="1"/>
  <c r="L116" i="19" s="1"/>
  <c r="AC35" i="19"/>
  <c r="AD35" i="19" s="1"/>
  <c r="AE35" i="19" s="1"/>
  <c r="AB61" i="19"/>
  <c r="I71" i="17"/>
  <c r="K70" i="17"/>
  <c r="J70" i="17"/>
  <c r="L70" i="17" s="1"/>
  <c r="L42" i="7"/>
  <c r="P69" i="19" s="1"/>
  <c r="R69" i="19" s="1"/>
  <c r="P68" i="17"/>
  <c r="R68" i="17" s="1"/>
  <c r="X76" i="17"/>
  <c r="Y76" i="17" s="1"/>
  <c r="I116" i="17"/>
  <c r="J115" i="17"/>
  <c r="K115" i="17" s="1"/>
  <c r="L115" i="17" s="1"/>
  <c r="N115" i="17" s="1"/>
  <c r="V67" i="17"/>
  <c r="AA63" i="17"/>
  <c r="AC63" i="17" s="1"/>
  <c r="AD63" i="17" s="1"/>
  <c r="AE63" i="17" s="1"/>
  <c r="AF63" i="17" s="1"/>
  <c r="V64" i="8"/>
  <c r="W64" i="8" s="1"/>
  <c r="X64" i="8" s="1"/>
  <c r="Y64" i="8" s="1"/>
  <c r="P65" i="8"/>
  <c r="Q65" i="8" s="1"/>
  <c r="R65" i="8" s="1"/>
  <c r="T67" i="8"/>
  <c r="U67" i="8" s="1"/>
  <c r="I66" i="8"/>
  <c r="J66" i="8" s="1"/>
  <c r="G68" i="8"/>
  <c r="H68" i="8" s="1"/>
  <c r="T33" i="8"/>
  <c r="V33" i="8" s="1"/>
  <c r="W33" i="8" s="1"/>
  <c r="X33" i="8" s="1"/>
  <c r="Y33" i="8" s="1"/>
  <c r="H112" i="8"/>
  <c r="I112" i="8" s="1"/>
  <c r="J112" i="8" s="1"/>
  <c r="L112" i="8" s="1"/>
  <c r="D41" i="7"/>
  <c r="G40" i="7"/>
  <c r="J40" i="7" s="1"/>
  <c r="K40" i="7" s="1"/>
  <c r="D27" i="5"/>
  <c r="E27" i="5" l="1"/>
  <c r="S66" i="19"/>
  <c r="S66" i="17"/>
  <c r="AI16" i="17"/>
  <c r="AI17" i="17"/>
  <c r="AI18" i="17" s="1"/>
  <c r="AF35" i="19"/>
  <c r="X68" i="19"/>
  <c r="Y68" i="19" s="1"/>
  <c r="AB35" i="19"/>
  <c r="AA36" i="19" s="1"/>
  <c r="U71" i="19"/>
  <c r="V71" i="19" s="1"/>
  <c r="AA62" i="19"/>
  <c r="AC62" i="19" s="1"/>
  <c r="AD62" i="19" s="1"/>
  <c r="AE62" i="19" s="1"/>
  <c r="AF62" i="19" s="1"/>
  <c r="I118" i="19"/>
  <c r="J117" i="19"/>
  <c r="K117" i="19" s="1"/>
  <c r="L117" i="19" s="1"/>
  <c r="K71" i="17"/>
  <c r="I72" i="17"/>
  <c r="J71" i="17"/>
  <c r="L71" i="17" s="1"/>
  <c r="L43" i="7"/>
  <c r="P70" i="19" s="1"/>
  <c r="R70" i="19" s="1"/>
  <c r="P69" i="17"/>
  <c r="R69" i="17" s="1"/>
  <c r="AB63" i="17"/>
  <c r="AA64" i="17" s="1"/>
  <c r="AB64" i="17" s="1"/>
  <c r="X77" i="17"/>
  <c r="Y77" i="17" s="1"/>
  <c r="X78" i="17" s="1"/>
  <c r="Y78" i="17" s="1"/>
  <c r="J116" i="17"/>
  <c r="K116" i="17" s="1"/>
  <c r="L116" i="17" s="1"/>
  <c r="N116" i="17" s="1"/>
  <c r="I117" i="17"/>
  <c r="U68" i="17"/>
  <c r="V65" i="8"/>
  <c r="W65" i="8" s="1"/>
  <c r="X65" i="8" s="1"/>
  <c r="Y65" i="8" s="1"/>
  <c r="P66" i="8"/>
  <c r="Q66" i="8" s="1"/>
  <c r="R66" i="8" s="1"/>
  <c r="T68" i="8"/>
  <c r="U68" i="8" s="1"/>
  <c r="I67" i="8"/>
  <c r="J67" i="8" s="1"/>
  <c r="G69" i="8"/>
  <c r="H69" i="8" s="1"/>
  <c r="U33" i="8"/>
  <c r="H113" i="8"/>
  <c r="I113" i="8" s="1"/>
  <c r="J113" i="8" s="1"/>
  <c r="L113" i="8" s="1"/>
  <c r="D28" i="5"/>
  <c r="G41" i="7"/>
  <c r="J41" i="7" s="1"/>
  <c r="K41" i="7" s="1"/>
  <c r="D42" i="7"/>
  <c r="E28" i="5" l="1"/>
  <c r="S67" i="19"/>
  <c r="S67" i="17"/>
  <c r="X69" i="19"/>
  <c r="Y69" i="19" s="1"/>
  <c r="AC36" i="19"/>
  <c r="AD36" i="19" s="1"/>
  <c r="AE36" i="19" s="1"/>
  <c r="J118" i="19"/>
  <c r="K118" i="19" s="1"/>
  <c r="L118" i="19" s="1"/>
  <c r="I119" i="19"/>
  <c r="U72" i="19"/>
  <c r="V72" i="19" s="1"/>
  <c r="AB62" i="19"/>
  <c r="K72" i="17"/>
  <c r="I73" i="17"/>
  <c r="J72" i="17"/>
  <c r="L72" i="17" s="1"/>
  <c r="L44" i="7"/>
  <c r="P71" i="19" s="1"/>
  <c r="R71" i="19" s="1"/>
  <c r="P70" i="17"/>
  <c r="R70" i="17" s="1"/>
  <c r="X79" i="17"/>
  <c r="Y79" i="17" s="1"/>
  <c r="I118" i="17"/>
  <c r="J117" i="17"/>
  <c r="K117" i="17" s="1"/>
  <c r="L117" i="17" s="1"/>
  <c r="N117" i="17" s="1"/>
  <c r="R64" i="17"/>
  <c r="S64" i="17" s="1"/>
  <c r="AC64" i="17" s="1"/>
  <c r="AD64" i="17" s="1"/>
  <c r="AE64" i="17" s="1"/>
  <c r="AF64" i="17" s="1"/>
  <c r="AA65" i="17"/>
  <c r="AC65" i="17" s="1"/>
  <c r="AD65" i="17" s="1"/>
  <c r="AE65" i="17" s="1"/>
  <c r="AF65" i="17" s="1"/>
  <c r="V68" i="17"/>
  <c r="U69" i="17" s="1"/>
  <c r="V66" i="8"/>
  <c r="W66" i="8" s="1"/>
  <c r="X66" i="8" s="1"/>
  <c r="Y66" i="8" s="1"/>
  <c r="T69" i="8"/>
  <c r="U69" i="8" s="1"/>
  <c r="I68" i="8"/>
  <c r="J68" i="8" s="1"/>
  <c r="G70" i="8"/>
  <c r="H70" i="8" s="1"/>
  <c r="P67" i="8"/>
  <c r="Q67" i="8" s="1"/>
  <c r="T34" i="8"/>
  <c r="V34" i="8" s="1"/>
  <c r="W34" i="8" s="1"/>
  <c r="X34" i="8" s="1"/>
  <c r="Y34" i="8" s="1"/>
  <c r="H114" i="8"/>
  <c r="I114" i="8" s="1"/>
  <c r="J114" i="8" s="1"/>
  <c r="L114" i="8" s="1"/>
  <c r="D43" i="7"/>
  <c r="G42" i="7"/>
  <c r="J42" i="7" s="1"/>
  <c r="K42" i="7" s="1"/>
  <c r="D29" i="5"/>
  <c r="E29" i="5" l="1"/>
  <c r="S68" i="19"/>
  <c r="S68" i="17"/>
  <c r="AF36" i="19"/>
  <c r="AB36" i="19"/>
  <c r="AA37" i="19" s="1"/>
  <c r="U73" i="19"/>
  <c r="V73" i="19" s="1"/>
  <c r="J119" i="19"/>
  <c r="K119" i="19" s="1"/>
  <c r="L119" i="19" s="1"/>
  <c r="I120" i="19"/>
  <c r="X70" i="19"/>
  <c r="Y70" i="19" s="1"/>
  <c r="AA63" i="19"/>
  <c r="AC63" i="19" s="1"/>
  <c r="AD63" i="19" s="1"/>
  <c r="AE63" i="19" s="1"/>
  <c r="AF63" i="19" s="1"/>
  <c r="K73" i="17"/>
  <c r="J73" i="17"/>
  <c r="L73" i="17" s="1"/>
  <c r="I74" i="17"/>
  <c r="L45" i="7"/>
  <c r="P72" i="19" s="1"/>
  <c r="R72" i="19" s="1"/>
  <c r="P71" i="17"/>
  <c r="R71" i="17" s="1"/>
  <c r="X80" i="17"/>
  <c r="Y80" i="17" s="1"/>
  <c r="X81" i="17" s="1"/>
  <c r="Y81" i="17" s="1"/>
  <c r="J118" i="17"/>
  <c r="K118" i="17" s="1"/>
  <c r="L118" i="17" s="1"/>
  <c r="N118" i="17" s="1"/>
  <c r="I119" i="17"/>
  <c r="AB65" i="17"/>
  <c r="V69" i="17"/>
  <c r="R67" i="8"/>
  <c r="V67" i="8" s="1"/>
  <c r="W67" i="8" s="1"/>
  <c r="P68" i="8"/>
  <c r="Q68" i="8" s="1"/>
  <c r="T70" i="8"/>
  <c r="U70" i="8" s="1"/>
  <c r="G71" i="8"/>
  <c r="H71" i="8" s="1"/>
  <c r="I69" i="8"/>
  <c r="J69" i="8" s="1"/>
  <c r="U34" i="8"/>
  <c r="H115" i="8"/>
  <c r="I115" i="8" s="1"/>
  <c r="J115" i="8" s="1"/>
  <c r="L115" i="8" s="1"/>
  <c r="D44" i="7"/>
  <c r="G43" i="7"/>
  <c r="J43" i="7" s="1"/>
  <c r="K43" i="7" s="1"/>
  <c r="D30" i="5"/>
  <c r="E30" i="5" l="1"/>
  <c r="S69" i="19"/>
  <c r="S69" i="17"/>
  <c r="U74" i="19"/>
  <c r="V74" i="19" s="1"/>
  <c r="X71" i="19"/>
  <c r="Y71" i="19" s="1"/>
  <c r="AB63" i="19"/>
  <c r="I121" i="19"/>
  <c r="J120" i="19"/>
  <c r="K120" i="19" s="1"/>
  <c r="L120" i="19" s="1"/>
  <c r="AC37" i="19"/>
  <c r="AD37" i="19" s="1"/>
  <c r="AE37" i="19" s="1"/>
  <c r="K74" i="17"/>
  <c r="J74" i="17"/>
  <c r="L74" i="17" s="1"/>
  <c r="I75" i="17"/>
  <c r="L46" i="7"/>
  <c r="P73" i="19" s="1"/>
  <c r="R73" i="19" s="1"/>
  <c r="P72" i="17"/>
  <c r="R72" i="17" s="1"/>
  <c r="X82" i="17"/>
  <c r="Y82" i="17" s="1"/>
  <c r="I120" i="17"/>
  <c r="J119" i="17"/>
  <c r="K119" i="17" s="1"/>
  <c r="L119" i="17" s="1"/>
  <c r="N119" i="17" s="1"/>
  <c r="AA66" i="17"/>
  <c r="AC66" i="17" s="1"/>
  <c r="AD66" i="17" s="1"/>
  <c r="AE66" i="17" s="1"/>
  <c r="AF66" i="17" s="1"/>
  <c r="U70" i="17"/>
  <c r="V70" i="17" s="1"/>
  <c r="U71" i="17" s="1"/>
  <c r="R68" i="8"/>
  <c r="V68" i="8" s="1"/>
  <c r="W68" i="8" s="1"/>
  <c r="X67" i="8"/>
  <c r="Y67" i="8" s="1"/>
  <c r="P69" i="8"/>
  <c r="Q69" i="8" s="1"/>
  <c r="R69" i="8" s="1"/>
  <c r="T71" i="8"/>
  <c r="U71" i="8" s="1"/>
  <c r="I70" i="8"/>
  <c r="J70" i="8" s="1"/>
  <c r="G72" i="8"/>
  <c r="H72" i="8" s="1"/>
  <c r="T35" i="8"/>
  <c r="V35" i="8" s="1"/>
  <c r="W35" i="8" s="1"/>
  <c r="X35" i="8" s="1"/>
  <c r="Y35" i="8" s="1"/>
  <c r="H116" i="8"/>
  <c r="I116" i="8" s="1"/>
  <c r="J116" i="8" s="1"/>
  <c r="L116" i="8" s="1"/>
  <c r="D45" i="7"/>
  <c r="G44" i="7"/>
  <c r="J44" i="7" s="1"/>
  <c r="K44" i="7" s="1"/>
  <c r="D31" i="5"/>
  <c r="E31" i="5" l="1"/>
  <c r="S70" i="19"/>
  <c r="S70" i="17"/>
  <c r="AF37" i="19"/>
  <c r="AB37" i="19"/>
  <c r="AA38" i="19" s="1"/>
  <c r="X72" i="19"/>
  <c r="Y72" i="19" s="1"/>
  <c r="I122" i="19"/>
  <c r="J121" i="19"/>
  <c r="K121" i="19" s="1"/>
  <c r="L121" i="19" s="1"/>
  <c r="U75" i="19"/>
  <c r="V75" i="19" s="1"/>
  <c r="AA64" i="19"/>
  <c r="AC64" i="19" s="1"/>
  <c r="AD64" i="19" s="1"/>
  <c r="AE64" i="19" s="1"/>
  <c r="AF64" i="19" s="1"/>
  <c r="J75" i="17"/>
  <c r="L75" i="17" s="1"/>
  <c r="K75" i="17"/>
  <c r="I76" i="17"/>
  <c r="AB66" i="17"/>
  <c r="AA67" i="17" s="1"/>
  <c r="AC67" i="17" s="1"/>
  <c r="AD67" i="17" s="1"/>
  <c r="AE67" i="17" s="1"/>
  <c r="AF67" i="17" s="1"/>
  <c r="L47" i="7"/>
  <c r="P74" i="19" s="1"/>
  <c r="R74" i="19" s="1"/>
  <c r="P73" i="17"/>
  <c r="R73" i="17" s="1"/>
  <c r="X83" i="17"/>
  <c r="Y83" i="17" s="1"/>
  <c r="J120" i="17"/>
  <c r="K120" i="17" s="1"/>
  <c r="L120" i="17" s="1"/>
  <c r="N120" i="17" s="1"/>
  <c r="I121" i="17"/>
  <c r="V71" i="17"/>
  <c r="U72" i="17" s="1"/>
  <c r="X68" i="8"/>
  <c r="Y68" i="8" s="1"/>
  <c r="V69" i="8"/>
  <c r="W69" i="8" s="1"/>
  <c r="X69" i="8" s="1"/>
  <c r="Y69" i="8" s="1"/>
  <c r="T72" i="8"/>
  <c r="U72" i="8" s="1"/>
  <c r="I71" i="8"/>
  <c r="J71" i="8" s="1"/>
  <c r="G73" i="8"/>
  <c r="H73" i="8" s="1"/>
  <c r="P70" i="8"/>
  <c r="Q70" i="8" s="1"/>
  <c r="U35" i="8"/>
  <c r="T36" i="8" s="1"/>
  <c r="V36" i="8" s="1"/>
  <c r="W36" i="8" s="1"/>
  <c r="X36" i="8" s="1"/>
  <c r="Y36" i="8" s="1"/>
  <c r="H117" i="8"/>
  <c r="I117" i="8" s="1"/>
  <c r="J117" i="8" s="1"/>
  <c r="L117" i="8" s="1"/>
  <c r="D32" i="5"/>
  <c r="G45" i="7"/>
  <c r="J45" i="7" s="1"/>
  <c r="K45" i="7" s="1"/>
  <c r="D46" i="7"/>
  <c r="E32" i="5" l="1"/>
  <c r="S71" i="19"/>
  <c r="S71" i="17"/>
  <c r="AB38" i="19"/>
  <c r="Q38" i="19" s="1"/>
  <c r="R38" i="19" s="1"/>
  <c r="S38" i="19" s="1"/>
  <c r="AC38" i="19" s="1"/>
  <c r="AD38" i="19" s="1"/>
  <c r="AE38" i="19" s="1"/>
  <c r="AI15" i="19" s="1"/>
  <c r="X73" i="19"/>
  <c r="Y73" i="19" s="1"/>
  <c r="J122" i="19"/>
  <c r="K122" i="19" s="1"/>
  <c r="L122" i="19" s="1"/>
  <c r="I123" i="19"/>
  <c r="U76" i="19"/>
  <c r="V76" i="19" s="1"/>
  <c r="AB64" i="19"/>
  <c r="AB67" i="17"/>
  <c r="AA68" i="17" s="1"/>
  <c r="AC68" i="17" s="1"/>
  <c r="AD68" i="17" s="1"/>
  <c r="AE68" i="17" s="1"/>
  <c r="AF68" i="17" s="1"/>
  <c r="K76" i="17"/>
  <c r="J76" i="17"/>
  <c r="L76" i="17" s="1"/>
  <c r="I77" i="17"/>
  <c r="L48" i="7"/>
  <c r="P75" i="19" s="1"/>
  <c r="R75" i="19" s="1"/>
  <c r="P74" i="17"/>
  <c r="R74" i="17" s="1"/>
  <c r="X84" i="17"/>
  <c r="Y84" i="17" s="1"/>
  <c r="I122" i="17"/>
  <c r="J121" i="17"/>
  <c r="K121" i="17" s="1"/>
  <c r="L121" i="17" s="1"/>
  <c r="N121" i="17" s="1"/>
  <c r="V72" i="17"/>
  <c r="R70" i="8"/>
  <c r="V70" i="8" s="1"/>
  <c r="W70" i="8" s="1"/>
  <c r="P71" i="8"/>
  <c r="Q71" i="8" s="1"/>
  <c r="G74" i="8"/>
  <c r="H74" i="8" s="1"/>
  <c r="T73" i="8"/>
  <c r="U73" i="8" s="1"/>
  <c r="I72" i="8"/>
  <c r="J72" i="8" s="1"/>
  <c r="U36" i="8"/>
  <c r="H118" i="8"/>
  <c r="I118" i="8" s="1"/>
  <c r="J118" i="8" s="1"/>
  <c r="L118" i="8" s="1"/>
  <c r="D47" i="7"/>
  <c r="G46" i="7"/>
  <c r="J46" i="7" s="1"/>
  <c r="K46" i="7" s="1"/>
  <c r="D33" i="5"/>
  <c r="E33" i="5" l="1"/>
  <c r="S72" i="19"/>
  <c r="S72" i="17"/>
  <c r="U77" i="19"/>
  <c r="V77" i="19"/>
  <c r="AF38" i="19"/>
  <c r="AI16" i="19" s="1"/>
  <c r="X74" i="19"/>
  <c r="Y74" i="19" s="1"/>
  <c r="J123" i="19"/>
  <c r="K123" i="19" s="1"/>
  <c r="L123" i="19" s="1"/>
  <c r="I124" i="19"/>
  <c r="AA65" i="19"/>
  <c r="AC65" i="19" s="1"/>
  <c r="AD65" i="19" s="1"/>
  <c r="AE65" i="19" s="1"/>
  <c r="AF65" i="19" s="1"/>
  <c r="J77" i="17"/>
  <c r="L77" i="17" s="1"/>
  <c r="K77" i="17"/>
  <c r="I78" i="17"/>
  <c r="AB68" i="17"/>
  <c r="AA69" i="17" s="1"/>
  <c r="AC69" i="17" s="1"/>
  <c r="AD69" i="17" s="1"/>
  <c r="AE69" i="17" s="1"/>
  <c r="AF69" i="17" s="1"/>
  <c r="L49" i="7"/>
  <c r="P76" i="19" s="1"/>
  <c r="R76" i="19" s="1"/>
  <c r="P75" i="17"/>
  <c r="R75" i="17" s="1"/>
  <c r="J122" i="17"/>
  <c r="K122" i="17" s="1"/>
  <c r="L122" i="17" s="1"/>
  <c r="N122" i="17" s="1"/>
  <c r="I123" i="17"/>
  <c r="U73" i="17"/>
  <c r="V73" i="17" s="1"/>
  <c r="U74" i="17" s="1"/>
  <c r="X70" i="8"/>
  <c r="Y70" i="8" s="1"/>
  <c r="R71" i="8"/>
  <c r="V71" i="8" s="1"/>
  <c r="W71" i="8" s="1"/>
  <c r="X71" i="8" s="1"/>
  <c r="Y71" i="8" s="1"/>
  <c r="T74" i="8"/>
  <c r="U74" i="8" s="1"/>
  <c r="G75" i="8"/>
  <c r="H75" i="8" s="1"/>
  <c r="P72" i="8"/>
  <c r="Q72" i="8" s="1"/>
  <c r="I73" i="8"/>
  <c r="J73" i="8" s="1"/>
  <c r="T37" i="8"/>
  <c r="V37" i="8" s="1"/>
  <c r="W37" i="8" s="1"/>
  <c r="X37" i="8" s="1"/>
  <c r="Y37" i="8" s="1"/>
  <c r="H119" i="8"/>
  <c r="I119" i="8" s="1"/>
  <c r="J119" i="8" s="1"/>
  <c r="L119" i="8" s="1"/>
  <c r="D34" i="5"/>
  <c r="D48" i="7"/>
  <c r="G47" i="7"/>
  <c r="J47" i="7" s="1"/>
  <c r="K47" i="7" s="1"/>
  <c r="E34" i="5" l="1"/>
  <c r="S73" i="19"/>
  <c r="S73" i="17"/>
  <c r="AI17" i="19"/>
  <c r="AI18" i="19" s="1"/>
  <c r="I125" i="19"/>
  <c r="J124" i="19"/>
  <c r="K124" i="19" s="1"/>
  <c r="L124" i="19" s="1"/>
  <c r="U78" i="19"/>
  <c r="V78" i="19" s="1"/>
  <c r="X75" i="19"/>
  <c r="Y75" i="19" s="1"/>
  <c r="AB65" i="19"/>
  <c r="J78" i="17"/>
  <c r="L78" i="17" s="1"/>
  <c r="K78" i="17"/>
  <c r="I79" i="17"/>
  <c r="L50" i="7"/>
  <c r="P77" i="19" s="1"/>
  <c r="R77" i="19" s="1"/>
  <c r="P76" i="17"/>
  <c r="R76" i="17" s="1"/>
  <c r="AB69" i="17"/>
  <c r="AA70" i="17" s="1"/>
  <c r="AC70" i="17" s="1"/>
  <c r="AD70" i="17" s="1"/>
  <c r="AE70" i="17" s="1"/>
  <c r="AF70" i="17" s="1"/>
  <c r="I124" i="17"/>
  <c r="J123" i="17"/>
  <c r="K123" i="17" s="1"/>
  <c r="L123" i="17" s="1"/>
  <c r="N123" i="17" s="1"/>
  <c r="V74" i="17"/>
  <c r="R72" i="8"/>
  <c r="V72" i="8" s="1"/>
  <c r="W72" i="8" s="1"/>
  <c r="P73" i="8"/>
  <c r="Q73" i="8" s="1"/>
  <c r="R73" i="8" s="1"/>
  <c r="T75" i="8"/>
  <c r="U75" i="8" s="1"/>
  <c r="I74" i="8"/>
  <c r="J74" i="8" s="1"/>
  <c r="G76" i="8"/>
  <c r="H76" i="8" s="1"/>
  <c r="U37" i="8"/>
  <c r="H120" i="8"/>
  <c r="I120" i="8" s="1"/>
  <c r="J120" i="8" s="1"/>
  <c r="L120" i="8" s="1"/>
  <c r="D49" i="7"/>
  <c r="G48" i="7"/>
  <c r="J48" i="7" s="1"/>
  <c r="K48" i="7" s="1"/>
  <c r="D35" i="5"/>
  <c r="E35" i="5" l="1"/>
  <c r="S74" i="19"/>
  <c r="S74" i="17"/>
  <c r="X76" i="19"/>
  <c r="Y76" i="19" s="1"/>
  <c r="I126" i="19"/>
  <c r="J125" i="19"/>
  <c r="K125" i="19" s="1"/>
  <c r="L125" i="19" s="1"/>
  <c r="AA66" i="19"/>
  <c r="AC66" i="19" s="1"/>
  <c r="AD66" i="19" s="1"/>
  <c r="AE66" i="19" s="1"/>
  <c r="AF66" i="19" s="1"/>
  <c r="U79" i="19"/>
  <c r="V79" i="19" s="1"/>
  <c r="I80" i="17"/>
  <c r="K79" i="17"/>
  <c r="J79" i="17"/>
  <c r="L79" i="17" s="1"/>
  <c r="AB70" i="17"/>
  <c r="AA71" i="17" s="1"/>
  <c r="L51" i="7"/>
  <c r="P78" i="19" s="1"/>
  <c r="R78" i="19" s="1"/>
  <c r="P77" i="17"/>
  <c r="R77" i="17" s="1"/>
  <c r="J124" i="17"/>
  <c r="K124" i="17" s="1"/>
  <c r="L124" i="17" s="1"/>
  <c r="N124" i="17" s="1"/>
  <c r="I125" i="17"/>
  <c r="AB71" i="17"/>
  <c r="AC71" i="17"/>
  <c r="AD71" i="17" s="1"/>
  <c r="AE71" i="17" s="1"/>
  <c r="AF71" i="17" s="1"/>
  <c r="U75" i="17"/>
  <c r="X72" i="8"/>
  <c r="Y72" i="8" s="1"/>
  <c r="V73" i="8"/>
  <c r="W73" i="8" s="1"/>
  <c r="X73" i="8" s="1"/>
  <c r="Y73" i="8" s="1"/>
  <c r="P74" i="8"/>
  <c r="Q74" i="8" s="1"/>
  <c r="R74" i="8" s="1"/>
  <c r="T76" i="8"/>
  <c r="U76" i="8" s="1"/>
  <c r="I75" i="8"/>
  <c r="J75" i="8" s="1"/>
  <c r="G77" i="8"/>
  <c r="H77" i="8" s="1"/>
  <c r="T38" i="8"/>
  <c r="H121" i="8"/>
  <c r="I121" i="8" s="1"/>
  <c r="J121" i="8" s="1"/>
  <c r="L121" i="8" s="1"/>
  <c r="D36" i="5"/>
  <c r="G49" i="7"/>
  <c r="J49" i="7" s="1"/>
  <c r="K49" i="7" s="1"/>
  <c r="D50" i="7"/>
  <c r="E36" i="5" l="1"/>
  <c r="S75" i="19"/>
  <c r="S75" i="17"/>
  <c r="AB66" i="19"/>
  <c r="AA67" i="19" s="1"/>
  <c r="AC67" i="19" s="1"/>
  <c r="AD67" i="19" s="1"/>
  <c r="AE67" i="19" s="1"/>
  <c r="AF67" i="19" s="1"/>
  <c r="U80" i="19"/>
  <c r="V80" i="19" s="1"/>
  <c r="J126" i="19"/>
  <c r="K126" i="19" s="1"/>
  <c r="L126" i="19" s="1"/>
  <c r="I127" i="19"/>
  <c r="X77" i="19"/>
  <c r="Y77" i="19" s="1"/>
  <c r="J80" i="17"/>
  <c r="L80" i="17" s="1"/>
  <c r="K80" i="17"/>
  <c r="I81" i="17"/>
  <c r="L52" i="7"/>
  <c r="P79" i="19" s="1"/>
  <c r="R79" i="19" s="1"/>
  <c r="P78" i="17"/>
  <c r="R78" i="17" s="1"/>
  <c r="I126" i="17"/>
  <c r="J125" i="17"/>
  <c r="K125" i="17" s="1"/>
  <c r="L125" i="17" s="1"/>
  <c r="N125" i="17" s="1"/>
  <c r="AA72" i="17"/>
  <c r="AC72" i="17" s="1"/>
  <c r="AD72" i="17" s="1"/>
  <c r="AE72" i="17" s="1"/>
  <c r="AF72" i="17" s="1"/>
  <c r="V75" i="17"/>
  <c r="V74" i="8"/>
  <c r="W74" i="8" s="1"/>
  <c r="X74" i="8" s="1"/>
  <c r="Y74" i="8" s="1"/>
  <c r="T77" i="8"/>
  <c r="U77" i="8" s="1"/>
  <c r="G78" i="8"/>
  <c r="H78" i="8" s="1"/>
  <c r="I76" i="8"/>
  <c r="J76" i="8" s="1"/>
  <c r="P75" i="8"/>
  <c r="Q75" i="8" s="1"/>
  <c r="U38" i="8"/>
  <c r="P38" i="8" s="1"/>
  <c r="Q38" i="8" s="1"/>
  <c r="R38" i="8" s="1"/>
  <c r="H122" i="8"/>
  <c r="I122" i="8" s="1"/>
  <c r="J122" i="8" s="1"/>
  <c r="L122" i="8" s="1"/>
  <c r="D37" i="5"/>
  <c r="D51" i="7"/>
  <c r="G50" i="7"/>
  <c r="J50" i="7" s="1"/>
  <c r="K50" i="7" s="1"/>
  <c r="E37" i="5" l="1"/>
  <c r="S76" i="19"/>
  <c r="S76" i="17"/>
  <c r="X78" i="19"/>
  <c r="Y78" i="19" s="1"/>
  <c r="J127" i="19"/>
  <c r="K127" i="19" s="1"/>
  <c r="L127" i="19" s="1"/>
  <c r="I128" i="19"/>
  <c r="U81" i="19"/>
  <c r="V81" i="19" s="1"/>
  <c r="AB67" i="19"/>
  <c r="K81" i="17"/>
  <c r="J81" i="17"/>
  <c r="L81" i="17" s="1"/>
  <c r="I82" i="17"/>
  <c r="AB72" i="17"/>
  <c r="AA73" i="17" s="1"/>
  <c r="AC73" i="17" s="1"/>
  <c r="AD73" i="17" s="1"/>
  <c r="AE73" i="17" s="1"/>
  <c r="AF73" i="17" s="1"/>
  <c r="L53" i="7"/>
  <c r="P80" i="19" s="1"/>
  <c r="R80" i="19" s="1"/>
  <c r="P79" i="17"/>
  <c r="R79" i="17" s="1"/>
  <c r="J126" i="17"/>
  <c r="K126" i="17" s="1"/>
  <c r="L126" i="17" s="1"/>
  <c r="N126" i="17" s="1"/>
  <c r="I127" i="17"/>
  <c r="U76" i="17"/>
  <c r="R75" i="8"/>
  <c r="V75" i="8" s="1"/>
  <c r="W75" i="8" s="1"/>
  <c r="V38" i="8"/>
  <c r="W38" i="8" s="1"/>
  <c r="X38" i="8" s="1"/>
  <c r="Y38" i="8" s="1"/>
  <c r="T78" i="8"/>
  <c r="U78" i="8" s="1"/>
  <c r="G79" i="8"/>
  <c r="H79" i="8" s="1"/>
  <c r="I77" i="8"/>
  <c r="J77" i="8" s="1"/>
  <c r="P76" i="8"/>
  <c r="Q76" i="8" s="1"/>
  <c r="H123" i="8"/>
  <c r="I123" i="8" s="1"/>
  <c r="J123" i="8" s="1"/>
  <c r="L123" i="8" s="1"/>
  <c r="D38" i="5"/>
  <c r="D52" i="7"/>
  <c r="G51" i="7"/>
  <c r="J51" i="7" s="1"/>
  <c r="K51" i="7" s="1"/>
  <c r="E38" i="5" l="1"/>
  <c r="S77" i="19"/>
  <c r="S77" i="17"/>
  <c r="X79" i="19"/>
  <c r="Y79" i="19" s="1"/>
  <c r="I129" i="19"/>
  <c r="J128" i="19"/>
  <c r="K128" i="19" s="1"/>
  <c r="L128" i="19" s="1"/>
  <c r="AA68" i="19"/>
  <c r="AC68" i="19" s="1"/>
  <c r="AD68" i="19" s="1"/>
  <c r="AE68" i="19" s="1"/>
  <c r="AF68" i="19" s="1"/>
  <c r="U82" i="19"/>
  <c r="V82" i="19" s="1"/>
  <c r="AB73" i="17"/>
  <c r="AA74" i="17" s="1"/>
  <c r="AC74" i="17" s="1"/>
  <c r="AD74" i="17" s="1"/>
  <c r="AE74" i="17" s="1"/>
  <c r="AF74" i="17" s="1"/>
  <c r="K82" i="17"/>
  <c r="J82" i="17"/>
  <c r="L82" i="17" s="1"/>
  <c r="I83" i="17"/>
  <c r="L54" i="7"/>
  <c r="P81" i="19" s="1"/>
  <c r="R81" i="19" s="1"/>
  <c r="P80" i="17"/>
  <c r="R80" i="17" s="1"/>
  <c r="I128" i="17"/>
  <c r="J127" i="17"/>
  <c r="K127" i="17" s="1"/>
  <c r="L127" i="17" s="1"/>
  <c r="N127" i="17" s="1"/>
  <c r="V76" i="17"/>
  <c r="R76" i="8"/>
  <c r="V76" i="8" s="1"/>
  <c r="W76" i="8" s="1"/>
  <c r="X75" i="8"/>
  <c r="Y75" i="8" s="1"/>
  <c r="AB15" i="8"/>
  <c r="AB16" i="8"/>
  <c r="AB17" i="8"/>
  <c r="AB18" i="8" s="1"/>
  <c r="T79" i="8"/>
  <c r="U79" i="8" s="1"/>
  <c r="I78" i="8"/>
  <c r="J78" i="8" s="1"/>
  <c r="P77" i="8"/>
  <c r="Q77" i="8" s="1"/>
  <c r="G80" i="8"/>
  <c r="H80" i="8" s="1"/>
  <c r="H124" i="8"/>
  <c r="I124" i="8" s="1"/>
  <c r="J124" i="8" s="1"/>
  <c r="L124" i="8" s="1"/>
  <c r="D39" i="5"/>
  <c r="D53" i="7"/>
  <c r="G52" i="7"/>
  <c r="J52" i="7" s="1"/>
  <c r="K52" i="7" s="1"/>
  <c r="E39" i="5" l="1"/>
  <c r="S78" i="19"/>
  <c r="S78" i="17"/>
  <c r="AB74" i="17"/>
  <c r="AA75" i="17" s="1"/>
  <c r="AC75" i="17" s="1"/>
  <c r="AD75" i="17" s="1"/>
  <c r="AE75" i="17" s="1"/>
  <c r="AF75" i="17" s="1"/>
  <c r="AB68" i="19"/>
  <c r="U83" i="19"/>
  <c r="V83" i="19" s="1"/>
  <c r="X80" i="19"/>
  <c r="Y80" i="19" s="1"/>
  <c r="I130" i="19"/>
  <c r="J130" i="19" s="1"/>
  <c r="K130" i="19" s="1"/>
  <c r="L130" i="19" s="1"/>
  <c r="J129" i="19"/>
  <c r="K129" i="19" s="1"/>
  <c r="L129" i="19" s="1"/>
  <c r="AA69" i="19"/>
  <c r="AC69" i="19" s="1"/>
  <c r="AD69" i="19" s="1"/>
  <c r="AE69" i="19" s="1"/>
  <c r="AF69" i="19" s="1"/>
  <c r="K83" i="17"/>
  <c r="I84" i="17"/>
  <c r="J83" i="17"/>
  <c r="L83" i="17" s="1"/>
  <c r="L55" i="7"/>
  <c r="P82" i="19" s="1"/>
  <c r="R82" i="19" s="1"/>
  <c r="P81" i="17"/>
  <c r="R81" i="17" s="1"/>
  <c r="J128" i="17"/>
  <c r="K128" i="17" s="1"/>
  <c r="L128" i="17" s="1"/>
  <c r="N128" i="17" s="1"/>
  <c r="I129" i="17"/>
  <c r="U77" i="17"/>
  <c r="V77" i="17" s="1"/>
  <c r="R77" i="8"/>
  <c r="V77" i="8" s="1"/>
  <c r="W77" i="8" s="1"/>
  <c r="X76" i="8"/>
  <c r="Y76" i="8" s="1"/>
  <c r="P78" i="8"/>
  <c r="Q78" i="8" s="1"/>
  <c r="R78" i="8" s="1"/>
  <c r="I79" i="8"/>
  <c r="J79" i="8" s="1"/>
  <c r="G81" i="8"/>
  <c r="H81" i="8" s="1"/>
  <c r="T80" i="8"/>
  <c r="U80" i="8" s="1"/>
  <c r="H125" i="8"/>
  <c r="I125" i="8" s="1"/>
  <c r="J125" i="8" s="1"/>
  <c r="L125" i="8" s="1"/>
  <c r="D40" i="5"/>
  <c r="G53" i="7"/>
  <c r="J53" i="7" s="1"/>
  <c r="K53" i="7" s="1"/>
  <c r="D54" i="7"/>
  <c r="E40" i="5" l="1"/>
  <c r="S79" i="19"/>
  <c r="S79" i="17"/>
  <c r="AB75" i="17"/>
  <c r="AA76" i="17" s="1"/>
  <c r="X81" i="19"/>
  <c r="Y81" i="19" s="1"/>
  <c r="AB69" i="19"/>
  <c r="U84" i="19"/>
  <c r="V84" i="19" s="1"/>
  <c r="O119" i="19"/>
  <c r="O96" i="19"/>
  <c r="O98" i="19"/>
  <c r="O102" i="19"/>
  <c r="O111" i="19"/>
  <c r="O123" i="19"/>
  <c r="O128" i="19"/>
  <c r="O124" i="19"/>
  <c r="O103" i="19"/>
  <c r="O129" i="19"/>
  <c r="O105" i="19"/>
  <c r="O120" i="19"/>
  <c r="O99" i="19"/>
  <c r="O130" i="19"/>
  <c r="O114" i="19"/>
  <c r="O97" i="19"/>
  <c r="O107" i="19"/>
  <c r="O122" i="19"/>
  <c r="O92" i="19"/>
  <c r="O100" i="19"/>
  <c r="O101" i="19"/>
  <c r="O116" i="19"/>
  <c r="O94" i="19"/>
  <c r="O118" i="19"/>
  <c r="O93" i="19"/>
  <c r="O104" i="19"/>
  <c r="O95" i="19"/>
  <c r="O117" i="19"/>
  <c r="O112" i="19"/>
  <c r="O109" i="19"/>
  <c r="O127" i="19"/>
  <c r="O125" i="19"/>
  <c r="O126" i="19"/>
  <c r="O115" i="19"/>
  <c r="O106" i="19"/>
  <c r="O121" i="19"/>
  <c r="O108" i="19"/>
  <c r="O110" i="19"/>
  <c r="O113" i="19"/>
  <c r="O91" i="19"/>
  <c r="K84" i="17"/>
  <c r="J84" i="17"/>
  <c r="L84" i="17" s="1"/>
  <c r="L56" i="7"/>
  <c r="P83" i="19" s="1"/>
  <c r="R83" i="19" s="1"/>
  <c r="P82" i="17"/>
  <c r="R82" i="17" s="1"/>
  <c r="I130" i="17"/>
  <c r="J130" i="17" s="1"/>
  <c r="K130" i="17" s="1"/>
  <c r="L130" i="17" s="1"/>
  <c r="N130" i="17" s="1"/>
  <c r="J129" i="17"/>
  <c r="K129" i="17" s="1"/>
  <c r="L129" i="17" s="1"/>
  <c r="N129" i="17" s="1"/>
  <c r="AB76" i="17"/>
  <c r="AC76" i="17"/>
  <c r="AD76" i="17" s="1"/>
  <c r="AE76" i="17" s="1"/>
  <c r="AF76" i="17" s="1"/>
  <c r="U78" i="17"/>
  <c r="V78" i="17" s="1"/>
  <c r="U79" i="17" s="1"/>
  <c r="X77" i="8"/>
  <c r="Y77" i="8" s="1"/>
  <c r="V78" i="8"/>
  <c r="W78" i="8" s="1"/>
  <c r="X78" i="8" s="1"/>
  <c r="Y78" i="8" s="1"/>
  <c r="T81" i="8"/>
  <c r="U81" i="8" s="1"/>
  <c r="P79" i="8"/>
  <c r="Q79" i="8" s="1"/>
  <c r="G82" i="8"/>
  <c r="H82" i="8" s="1"/>
  <c r="I80" i="8"/>
  <c r="J80" i="8" s="1"/>
  <c r="H126" i="8"/>
  <c r="I126" i="8" s="1"/>
  <c r="J126" i="8" s="1"/>
  <c r="L126" i="8" s="1"/>
  <c r="D55" i="7"/>
  <c r="G54" i="7"/>
  <c r="J54" i="7" s="1"/>
  <c r="K54" i="7" s="1"/>
  <c r="D41" i="5"/>
  <c r="E41" i="5" l="1"/>
  <c r="S80" i="19"/>
  <c r="S80" i="17"/>
  <c r="X82" i="19"/>
  <c r="Y82" i="19" s="1"/>
  <c r="AA70" i="19"/>
  <c r="AC70" i="19" s="1"/>
  <c r="AD70" i="19" s="1"/>
  <c r="AE70" i="19" s="1"/>
  <c r="AF70" i="19" s="1"/>
  <c r="O95" i="17"/>
  <c r="O111" i="17"/>
  <c r="O98" i="17"/>
  <c r="O119" i="17"/>
  <c r="L57" i="7"/>
  <c r="P83" i="17"/>
  <c r="R83" i="17" s="1"/>
  <c r="AA77" i="17"/>
  <c r="AC77" i="17" s="1"/>
  <c r="AD77" i="17" s="1"/>
  <c r="AE77" i="17" s="1"/>
  <c r="AF77" i="17" s="1"/>
  <c r="V79" i="17"/>
  <c r="U80" i="17" s="1"/>
  <c r="R79" i="8"/>
  <c r="V79" i="8" s="1"/>
  <c r="W79" i="8" s="1"/>
  <c r="T82" i="8"/>
  <c r="U82" i="8" s="1"/>
  <c r="I81" i="8"/>
  <c r="J81" i="8" s="1"/>
  <c r="P80" i="8"/>
  <c r="Q80" i="8" s="1"/>
  <c r="G83" i="8"/>
  <c r="H83" i="8" s="1"/>
  <c r="H127" i="8"/>
  <c r="I127" i="8" s="1"/>
  <c r="J127" i="8" s="1"/>
  <c r="L127" i="8" s="1"/>
  <c r="D42" i="5"/>
  <c r="D56" i="7"/>
  <c r="G55" i="7"/>
  <c r="J55" i="7" s="1"/>
  <c r="K55" i="7" s="1"/>
  <c r="E42" i="5" l="1"/>
  <c r="S81" i="19"/>
  <c r="S81" i="17"/>
  <c r="P84" i="17"/>
  <c r="P84" i="19"/>
  <c r="X83" i="19"/>
  <c r="Y83" i="19" s="1"/>
  <c r="AB70" i="19"/>
  <c r="O127" i="17"/>
  <c r="O91" i="17"/>
  <c r="O93" i="17"/>
  <c r="O92" i="17"/>
  <c r="O117" i="17"/>
  <c r="O124" i="17"/>
  <c r="O112" i="17"/>
  <c r="O103" i="17"/>
  <c r="O104" i="17"/>
  <c r="O94" i="17"/>
  <c r="O120" i="17"/>
  <c r="O126" i="17"/>
  <c r="O99" i="17"/>
  <c r="O108" i="17"/>
  <c r="O106" i="17"/>
  <c r="O129" i="17"/>
  <c r="O128" i="17"/>
  <c r="O97" i="17"/>
  <c r="O102" i="17"/>
  <c r="O123" i="17"/>
  <c r="O125" i="17"/>
  <c r="O113" i="17"/>
  <c r="O100" i="17"/>
  <c r="O110" i="17"/>
  <c r="O116" i="17"/>
  <c r="O115" i="17"/>
  <c r="O105" i="17"/>
  <c r="O109" i="17"/>
  <c r="O96" i="17"/>
  <c r="O121" i="17"/>
  <c r="O101" i="17"/>
  <c r="O107" i="17"/>
  <c r="O122" i="17"/>
  <c r="O114" i="17"/>
  <c r="O118" i="17"/>
  <c r="O130" i="17"/>
  <c r="AB77" i="17"/>
  <c r="AA78" i="17" s="1"/>
  <c r="AB78" i="17" s="1"/>
  <c r="AA79" i="17" s="1"/>
  <c r="AB79" i="17" s="1"/>
  <c r="AA80" i="17" s="1"/>
  <c r="AB80" i="17" s="1"/>
  <c r="AA81" i="17" s="1"/>
  <c r="AB81" i="17" s="1"/>
  <c r="AA82" i="17" s="1"/>
  <c r="AB82" i="17" s="1"/>
  <c r="AA83" i="17" s="1"/>
  <c r="AB83" i="17" s="1"/>
  <c r="AA84" i="17" s="1"/>
  <c r="AB84" i="17" s="1"/>
  <c r="V80" i="17"/>
  <c r="R80" i="8"/>
  <c r="V80" i="8" s="1"/>
  <c r="W80" i="8" s="1"/>
  <c r="X79" i="8"/>
  <c r="Y79" i="8" s="1"/>
  <c r="T83" i="8"/>
  <c r="U83" i="8" s="1"/>
  <c r="G84" i="8"/>
  <c r="P81" i="8"/>
  <c r="Q81" i="8" s="1"/>
  <c r="I82" i="8"/>
  <c r="J82" i="8" s="1"/>
  <c r="H128" i="8"/>
  <c r="I128" i="8" s="1"/>
  <c r="J128" i="8" s="1"/>
  <c r="L128" i="8" s="1"/>
  <c r="D43" i="5"/>
  <c r="D57" i="7"/>
  <c r="G57" i="7" s="1"/>
  <c r="J57" i="7" s="1"/>
  <c r="K57" i="7" s="1"/>
  <c r="G56" i="7"/>
  <c r="J56" i="7" s="1"/>
  <c r="K56" i="7" s="1"/>
  <c r="E43" i="5" l="1"/>
  <c r="S82" i="19"/>
  <c r="S82" i="17"/>
  <c r="X84" i="19"/>
  <c r="Y84" i="19" s="1"/>
  <c r="AA71" i="19"/>
  <c r="AC71" i="19" s="1"/>
  <c r="AD71" i="19" s="1"/>
  <c r="AE71" i="19" s="1"/>
  <c r="AF71" i="19" s="1"/>
  <c r="AC79" i="17"/>
  <c r="AD79" i="17" s="1"/>
  <c r="AE79" i="17" s="1"/>
  <c r="AF79" i="17" s="1"/>
  <c r="AC78" i="17"/>
  <c r="AD78" i="17" s="1"/>
  <c r="AE78" i="17" s="1"/>
  <c r="AF78" i="17" s="1"/>
  <c r="AC80" i="17"/>
  <c r="AD80" i="17" s="1"/>
  <c r="AE80" i="17" s="1"/>
  <c r="AF80" i="17" s="1"/>
  <c r="U81" i="17"/>
  <c r="AC81" i="17" s="1"/>
  <c r="AD81" i="17" s="1"/>
  <c r="AE81" i="17" s="1"/>
  <c r="AF81" i="17" s="1"/>
  <c r="R81" i="8"/>
  <c r="V81" i="8" s="1"/>
  <c r="W81" i="8" s="1"/>
  <c r="X80" i="8"/>
  <c r="Y80" i="8" s="1"/>
  <c r="H84" i="8"/>
  <c r="I84" i="8" s="1"/>
  <c r="J84" i="8" s="1"/>
  <c r="T84" i="8"/>
  <c r="U84" i="8" s="1"/>
  <c r="P84" i="8" s="1"/>
  <c r="I83" i="8"/>
  <c r="J83" i="8" s="1"/>
  <c r="P82" i="8"/>
  <c r="Q82" i="8" s="1"/>
  <c r="H129" i="8"/>
  <c r="I129" i="8" s="1"/>
  <c r="J129" i="8" s="1"/>
  <c r="L129" i="8" s="1"/>
  <c r="D44" i="5"/>
  <c r="D45" i="5"/>
  <c r="E44" i="5" l="1"/>
  <c r="S83" i="19"/>
  <c r="S83" i="17"/>
  <c r="AB71" i="19"/>
  <c r="V81" i="17"/>
  <c r="U82" i="17" s="1"/>
  <c r="AC82" i="17" s="1"/>
  <c r="AD82" i="17" s="1"/>
  <c r="AE82" i="17" s="1"/>
  <c r="AF82" i="17" s="1"/>
  <c r="R82" i="8"/>
  <c r="V82" i="8" s="1"/>
  <c r="W82" i="8" s="1"/>
  <c r="X81" i="8"/>
  <c r="Y81" i="8" s="1"/>
  <c r="Q84" i="8"/>
  <c r="R84" i="8" s="1"/>
  <c r="P83" i="8"/>
  <c r="Q83" i="8" s="1"/>
  <c r="R83" i="8" s="1"/>
  <c r="H130" i="8"/>
  <c r="I130" i="8" s="1"/>
  <c r="J130" i="8" s="1"/>
  <c r="L130" i="8" s="1"/>
  <c r="E45" i="5"/>
  <c r="I7" i="5" s="1"/>
  <c r="H13" i="5" s="1"/>
  <c r="H7" i="5"/>
  <c r="AA72" i="19" l="1"/>
  <c r="AC72" i="19" s="1"/>
  <c r="AD72" i="19" s="1"/>
  <c r="AE72" i="19" s="1"/>
  <c r="AF72" i="19" s="1"/>
  <c r="V82" i="17"/>
  <c r="U83" i="17" s="1"/>
  <c r="AC83" i="17" s="1"/>
  <c r="AD83" i="17" s="1"/>
  <c r="AE83" i="17" s="1"/>
  <c r="AF83" i="17" s="1"/>
  <c r="X82" i="8"/>
  <c r="Y82" i="8" s="1"/>
  <c r="N92" i="8"/>
  <c r="N96" i="8"/>
  <c r="N104" i="8"/>
  <c r="N126" i="8"/>
  <c r="N123" i="8"/>
  <c r="N121" i="8"/>
  <c r="N101" i="8"/>
  <c r="N113" i="8"/>
  <c r="N97" i="8"/>
  <c r="N115" i="8"/>
  <c r="N130" i="8"/>
  <c r="N91" i="8"/>
  <c r="N125" i="8"/>
  <c r="N128" i="8"/>
  <c r="N99" i="8"/>
  <c r="N93" i="8"/>
  <c r="N120" i="8"/>
  <c r="N119" i="8"/>
  <c r="N98" i="8"/>
  <c r="N124" i="8"/>
  <c r="N102" i="8"/>
  <c r="N106" i="8"/>
  <c r="N112" i="8"/>
  <c r="N109" i="8"/>
  <c r="N110" i="8"/>
  <c r="N117" i="8"/>
  <c r="N116" i="8"/>
  <c r="N103" i="8"/>
  <c r="N105" i="8"/>
  <c r="N108" i="8"/>
  <c r="N111" i="8"/>
  <c r="N95" i="8"/>
  <c r="N94" i="8"/>
  <c r="N118" i="8"/>
  <c r="N114" i="8"/>
  <c r="N127" i="8"/>
  <c r="N107" i="8"/>
  <c r="N100" i="8"/>
  <c r="N122" i="8"/>
  <c r="N129" i="8"/>
  <c r="V84" i="8"/>
  <c r="W84" i="8" s="1"/>
  <c r="X84" i="8" s="1"/>
  <c r="Y84" i="8" s="1"/>
  <c r="AB72" i="19" l="1"/>
  <c r="AA73" i="19" s="1"/>
  <c r="AC73" i="19" s="1"/>
  <c r="AD73" i="19" s="1"/>
  <c r="AE73" i="19" s="1"/>
  <c r="AF73" i="19" s="1"/>
  <c r="V83" i="17"/>
  <c r="U84" i="17" s="1"/>
  <c r="V84" i="17" s="1"/>
  <c r="Q84" i="17" s="1"/>
  <c r="R84" i="17" s="1"/>
  <c r="S84" i="17" s="1"/>
  <c r="AC84" i="17" s="1"/>
  <c r="AD84" i="17" s="1"/>
  <c r="V83" i="8"/>
  <c r="W83" i="8" s="1"/>
  <c r="X83" i="8" s="1"/>
  <c r="AB73" i="19" l="1"/>
  <c r="AE84" i="17"/>
  <c r="AF84" i="17" s="1"/>
  <c r="Y83" i="8"/>
  <c r="AB42" i="8" s="1"/>
  <c r="AB41" i="8"/>
  <c r="AA74" i="19" l="1"/>
  <c r="AC74" i="19" s="1"/>
  <c r="AD74" i="19" s="1"/>
  <c r="AE74" i="19" s="1"/>
  <c r="AF74" i="19" s="1"/>
  <c r="AI40" i="17"/>
  <c r="AI42" i="17"/>
  <c r="AI41" i="17"/>
  <c r="AB43" i="8"/>
  <c r="AB44" i="8" s="1"/>
  <c r="V12" i="17"/>
  <c r="Q12" i="17" s="1"/>
  <c r="R12" i="17" s="1"/>
  <c r="S12" i="17" s="1"/>
  <c r="AC12" i="17" s="1"/>
  <c r="AD12" i="17" s="1"/>
  <c r="AE12" i="17" s="1"/>
  <c r="AB74" i="19" l="1"/>
  <c r="AA75" i="19" s="1"/>
  <c r="AC75" i="19" s="1"/>
  <c r="AD75" i="19" s="1"/>
  <c r="AE75" i="19" s="1"/>
  <c r="AF75" i="19" s="1"/>
  <c r="AF12" i="17"/>
  <c r="AI4" i="17"/>
  <c r="AI43" i="17"/>
  <c r="AB75" i="19" l="1"/>
  <c r="AI5" i="17"/>
  <c r="AI6" i="17"/>
  <c r="AI7" i="17" s="1"/>
  <c r="AA76" i="19" l="1"/>
  <c r="AC76" i="19" s="1"/>
  <c r="AD76" i="19" s="1"/>
  <c r="AE76" i="19" s="1"/>
  <c r="AF76" i="19" s="1"/>
  <c r="AB76" i="19" l="1"/>
  <c r="AA77" i="19" l="1"/>
  <c r="AC77" i="19" s="1"/>
  <c r="AD77" i="19" s="1"/>
  <c r="AE77" i="19" s="1"/>
  <c r="AF77" i="19" s="1"/>
  <c r="AB77" i="19" l="1"/>
  <c r="AA78" i="19" l="1"/>
  <c r="AC78" i="19" s="1"/>
  <c r="AD78" i="19" s="1"/>
  <c r="AE78" i="19" s="1"/>
  <c r="AF78" i="19" s="1"/>
  <c r="AB78" i="19" l="1"/>
  <c r="AA79" i="19" l="1"/>
  <c r="AC79" i="19" s="1"/>
  <c r="AD79" i="19" s="1"/>
  <c r="AE79" i="19" s="1"/>
  <c r="AF79" i="19" s="1"/>
  <c r="AB79" i="19" l="1"/>
  <c r="AA80" i="19" l="1"/>
  <c r="AC80" i="19" s="1"/>
  <c r="AD80" i="19" s="1"/>
  <c r="AE80" i="19" s="1"/>
  <c r="AF80" i="19" s="1"/>
  <c r="AB80" i="19" l="1"/>
  <c r="AA81" i="19" l="1"/>
  <c r="AC81" i="19" s="1"/>
  <c r="AD81" i="19" s="1"/>
  <c r="AE81" i="19" s="1"/>
  <c r="AF81" i="19" s="1"/>
  <c r="AB81" i="19" l="1"/>
  <c r="AA82" i="19" s="1"/>
  <c r="AC82" i="19" s="1"/>
  <c r="AD82" i="19" s="1"/>
  <c r="AE82" i="19" s="1"/>
  <c r="AF82" i="19" s="1"/>
  <c r="AB82" i="19" l="1"/>
  <c r="AA83" i="19" l="1"/>
  <c r="AC83" i="19" s="1"/>
  <c r="AD83" i="19" s="1"/>
  <c r="AE83" i="19" s="1"/>
  <c r="AF83" i="19" s="1"/>
  <c r="AB83" i="19" l="1"/>
  <c r="AA84" i="19" s="1"/>
  <c r="AB84" i="19" s="1"/>
  <c r="Q84" i="19" s="1"/>
  <c r="R84" i="19" s="1"/>
  <c r="S84" i="19" s="1"/>
  <c r="AC84" i="19" l="1"/>
  <c r="AD84" i="19" s="1"/>
  <c r="AE84" i="19" s="1"/>
  <c r="AF84" i="19" l="1"/>
  <c r="AI40" i="19"/>
  <c r="AI42" i="19" l="1"/>
  <c r="AI43" i="19" s="1"/>
  <c r="AI4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Muchen He</author>
  </authors>
  <commentList>
    <comment ref="H6" authorId="0" shapeId="0" xr:uid="{D5EBA629-432B-FE48-BEDD-00EA8AAE704B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https://ases.conference-services.net/resources/252/2859/pdf/SOLAR2012_0783_full%20paper.pdf</t>
        </r>
      </text>
    </comment>
    <comment ref="I7" authorId="0" shapeId="0" xr:uid="{BAFFC7D8-7834-6C46-AB17-C0DFAE728CF9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https://www.solarpaneltalk.com/forum/solar-power-lighting/solar-lighting-for-homes-and-gardens/14683-lifespan-of-solar-charger-solar-controller-and-battery-agm-sla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88" authorId="0" shapeId="0" xr:uid="{12D4DF5B-590C-440D-A7CB-9C8E4F8B6D5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88" authorId="0" shapeId="0" xr:uid="{5A917467-B0A8-8F47-BD67-8182585BD8A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88" authorId="0" shapeId="0" xr:uid="{11F628A6-2DCF-47AF-AED5-C2FEE75C7144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sharedStrings.xml><?xml version="1.0" encoding="utf-8"?>
<sst xmlns="http://schemas.openxmlformats.org/spreadsheetml/2006/main" count="917" uniqueCount="265">
  <si>
    <t>Daily average demand</t>
  </si>
  <si>
    <t>kWh per day</t>
  </si>
  <si>
    <t>SYSTEM REQUIREMENTS</t>
  </si>
  <si>
    <t>per W</t>
  </si>
  <si>
    <t>Type</t>
  </si>
  <si>
    <t>Part</t>
  </si>
  <si>
    <t>Cost</t>
  </si>
  <si>
    <t>Performance</t>
  </si>
  <si>
    <t>CCA</t>
  </si>
  <si>
    <t>per m^2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</si>
  <si>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</si>
  <si>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</si>
  <si>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</si>
  <si>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</si>
  <si>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</si>
  <si>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</si>
  <si>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</si>
  <si>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</si>
  <si>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</si>
  <si>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</si>
  <si>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</si>
  <si>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</si>
  <si>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</si>
  <si>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</si>
  <si>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</si>
  <si>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</si>
  <si>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</si>
  <si>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</si>
  <si>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</si>
  <si>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</si>
  <si>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</si>
  <si>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</si>
  <si>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</si>
  <si>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</si>
  <si>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</si>
  <si>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</si>
  <si>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</si>
  <si>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</si>
  <si>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</si>
  <si>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</si>
  <si>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</si>
  <si>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</si>
  <si>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</si>
  <si>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</si>
  <si>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Usually solar warranty of 25 years (free replacement til then)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</si>
  <si>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</si>
  <si>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</si>
  <si>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</si>
  <si>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</si>
  <si>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</si>
  <si>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</si>
  <si>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</si>
  <si>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deg</t>
  </si>
  <si>
    <t>Electricity Cost</t>
  </si>
  <si>
    <t>Historical</t>
  </si>
  <si>
    <t>Projected</t>
  </si>
  <si>
    <t>Year</t>
  </si>
  <si>
    <t>Accounting for inflation rate and other factors</t>
  </si>
  <si>
    <t>Admin Fees</t>
  </si>
  <si>
    <t>[$]</t>
  </si>
  <si>
    <t>[$/kWh]</t>
  </si>
  <si>
    <t>Usage</t>
  </si>
  <si>
    <t>[kWh]</t>
  </si>
  <si>
    <t>Inflation Rate</t>
  </si>
  <si>
    <t>5 years</t>
  </si>
  <si>
    <t>20 years</t>
  </si>
  <si>
    <t>40 years</t>
  </si>
  <si>
    <t>Off-peak</t>
  </si>
  <si>
    <t>Mid-peak</t>
  </si>
  <si>
    <t>On-peak</t>
  </si>
  <si>
    <t>Sources:</t>
  </si>
  <si>
    <t>https://www.oeb.ca/rates-and-your-bill/electricity-rates/historical-electricity-rates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</si>
  <si>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</si>
  <si>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</si>
  <si>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</si>
  <si>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</si>
  <si>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</si>
  <si>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</si>
  <si>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</si>
  <si>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</si>
  <si>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</si>
  <si>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</si>
  <si>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</si>
  <si>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</si>
  <si>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</si>
  <si>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</si>
  <si>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</si>
  <si>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</si>
  <si>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</si>
  <si>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</si>
  <si>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</si>
  <si>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</si>
  <si>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</si>
  <si>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https://callmepower.ca/en/ab/electricity/cost/averages-house-apartment-condo</t>
  </si>
  <si>
    <t>Month</t>
  </si>
  <si>
    <t>Daylight</t>
  </si>
  <si>
    <t>[hours]</t>
  </si>
  <si>
    <t>Sunlight</t>
  </si>
  <si>
    <t>of daylight</t>
  </si>
  <si>
    <t>Cloudy</t>
  </si>
  <si>
    <t>Overcast</t>
  </si>
  <si>
    <t>Sunny</t>
  </si>
  <si>
    <t>Solar Performance</t>
  </si>
  <si>
    <t>Consumption</t>
  </si>
  <si>
    <t>Uniform</t>
  </si>
  <si>
    <t>Model</t>
  </si>
  <si>
    <t>Fluctuation</t>
  </si>
  <si>
    <t>Yearly Aveage</t>
  </si>
  <si>
    <t>kWh</t>
  </si>
  <si>
    <t>Monthly Fluct.</t>
  </si>
  <si>
    <t>Monthly Offset</t>
  </si>
  <si>
    <t>Yearly</t>
  </si>
  <si>
    <t>no data</t>
  </si>
  <si>
    <t>Peak Probability</t>
  </si>
  <si>
    <t>Relative Costs</t>
  </si>
  <si>
    <t>Cost Increase</t>
  </si>
  <si>
    <t>Power</t>
  </si>
  <si>
    <t>[kW]</t>
  </si>
  <si>
    <t>Electrical</t>
  </si>
  <si>
    <t>Mechanical</t>
  </si>
  <si>
    <t>N/A</t>
  </si>
  <si>
    <t>Roof pitch</t>
  </si>
  <si>
    <t>DIY</t>
  </si>
  <si>
    <t>Parts List</t>
  </si>
  <si>
    <t>Qty.</t>
  </si>
  <si>
    <t>CCA class</t>
  </si>
  <si>
    <t>Depreciation</t>
  </si>
  <si>
    <t>Specifications</t>
  </si>
  <si>
    <t>W/panel</t>
  </si>
  <si>
    <t>Cost ea.</t>
  </si>
  <si>
    <t>Charge controller</t>
  </si>
  <si>
    <t>Inverter</t>
  </si>
  <si>
    <t>W</t>
  </si>
  <si>
    <t>Battery</t>
  </si>
  <si>
    <t>Wh/battery</t>
  </si>
  <si>
    <t>Tax rate</t>
  </si>
  <si>
    <t>Sales Tax</t>
  </si>
  <si>
    <t>https://www.canada.ca/en/revenue-agency/services/tax/businesses/topics/corporations/corporation-tax-rates.html</t>
  </si>
  <si>
    <t>https://en.wikipedia.org/wiki/Canada_small_business_tax_rate</t>
  </si>
  <si>
    <t>Installation</t>
  </si>
  <si>
    <t>Solar technician sallary</t>
  </si>
  <si>
    <t>per hour</t>
  </si>
  <si>
    <t>https://ca.indeed.com/Solar-Technician-jobs-in-Ontario?vjk=37ca25b9096f3721</t>
  </si>
  <si>
    <t>https://work.chron.com/pay-scale-solar-energy-technician-19567.html</t>
  </si>
  <si>
    <t>Installation time</t>
  </si>
  <si>
    <t>hours</t>
  </si>
  <si>
    <t>Salvage</t>
  </si>
  <si>
    <t>Replacement Period</t>
  </si>
  <si>
    <t>R/A</t>
  </si>
  <si>
    <t>Effective</t>
  </si>
  <si>
    <t>One Year Power Estimate</t>
  </si>
  <si>
    <t>Generated</t>
  </si>
  <si>
    <t>Wh</t>
  </si>
  <si>
    <t>Solar efficiency</t>
  </si>
  <si>
    <t>Performance degration</t>
  </si>
  <si>
    <t>Failure rate</t>
  </si>
  <si>
    <t>years</t>
  </si>
  <si>
    <t>Government Incentives to reward renewable energy</t>
  </si>
  <si>
    <t>Alberta</t>
  </si>
  <si>
    <t>Edmonton</t>
  </si>
  <si>
    <t>Installation rebates</t>
  </si>
  <si>
    <t>Power payback</t>
  </si>
  <si>
    <t>Power Cost</t>
  </si>
  <si>
    <t>Rebate</t>
  </si>
  <si>
    <t>Maintainance</t>
  </si>
  <si>
    <t>Buyback</t>
  </si>
  <si>
    <t>Benefits</t>
  </si>
  <si>
    <t>Lesser of:</t>
  </si>
  <si>
    <t>of installation or</t>
  </si>
  <si>
    <t>Solar</t>
  </si>
  <si>
    <t>Grid</t>
  </si>
  <si>
    <t>UCC Change</t>
  </si>
  <si>
    <t>Taxable Income</t>
  </si>
  <si>
    <t>Book Val.</t>
  </si>
  <si>
    <t>Cashflow</t>
  </si>
  <si>
    <t>Tax</t>
  </si>
  <si>
    <t>Tax and Depreciation</t>
  </si>
  <si>
    <t>Relative Benefit</t>
  </si>
  <si>
    <t>[$ nominal]</t>
  </si>
  <si>
    <t>NPV</t>
  </si>
  <si>
    <t>In losses</t>
  </si>
  <si>
    <t>EAUC</t>
  </si>
  <si>
    <t>Loss</t>
  </si>
  <si>
    <t>Lost energy</t>
  </si>
  <si>
    <t>Opp. Cost</t>
  </si>
  <si>
    <t>Challenger</t>
  </si>
  <si>
    <t>Defender</t>
  </si>
  <si>
    <t>Lifetime</t>
  </si>
  <si>
    <t>Period</t>
  </si>
  <si>
    <t>ATCF Nominal MARR</t>
  </si>
  <si>
    <t>Energy Cost</t>
  </si>
  <si>
    <t>PV Panels</t>
  </si>
  <si>
    <t>Other Parts</t>
  </si>
  <si>
    <t>Taxed Cost</t>
  </si>
  <si>
    <t>Real IRR</t>
  </si>
  <si>
    <t>Nominal IRR</t>
  </si>
  <si>
    <t>Net Saved</t>
  </si>
  <si>
    <t>Net</t>
  </si>
  <si>
    <t>NPV Savings</t>
  </si>
  <si>
    <t>EUAB</t>
  </si>
  <si>
    <t>Medium setup</t>
  </si>
  <si>
    <t>5 Year Analysis</t>
  </si>
  <si>
    <t>20 Year Analysis</t>
  </si>
  <si>
    <t>40 Year Analysis</t>
  </si>
  <si>
    <t>Dollar per watt</t>
  </si>
  <si>
    <t>https://kubyenergy.ca/blog/solar-glossary</t>
  </si>
  <si>
    <t>Capacity</t>
  </si>
  <si>
    <t>[$/kW]</t>
  </si>
  <si>
    <t>Model Cost</t>
  </si>
  <si>
    <t>Dollar per watt linear model</t>
  </si>
  <si>
    <t>System W</t>
  </si>
  <si>
    <t>kW</t>
  </si>
  <si>
    <t>Fixed cost</t>
  </si>
  <si>
    <t>Variable cost</t>
  </si>
  <si>
    <t>Fixed Cost</t>
  </si>
  <si>
    <t>/kW</t>
  </si>
  <si>
    <t>Total install cost</t>
  </si>
  <si>
    <t>Consumed</t>
  </si>
  <si>
    <t>Solar Panel Replacement Analysis</t>
  </si>
  <si>
    <t>replaced every</t>
  </si>
  <si>
    <t>Labour</t>
  </si>
  <si>
    <t>Prime rate</t>
  </si>
  <si>
    <t>https://ycharts.com/indicators/canada_prime_rate_monthly</t>
  </si>
  <si>
    <t>Allowed loan terms</t>
  </si>
  <si>
    <t>Fraction of cost</t>
  </si>
  <si>
    <t>CCA rate</t>
  </si>
  <si>
    <t>Replacement</t>
  </si>
  <si>
    <t>A</t>
  </si>
  <si>
    <t>B</t>
  </si>
  <si>
    <t>Depreciation 1</t>
  </si>
  <si>
    <t>Depreciation 2</t>
  </si>
  <si>
    <t>UCC</t>
  </si>
  <si>
    <t>UCC account 1</t>
  </si>
  <si>
    <t>Cost basis</t>
  </si>
  <si>
    <t>UCC account 2</t>
  </si>
  <si>
    <t>UCC account 3</t>
  </si>
  <si>
    <t>Buy back incrase rate</t>
  </si>
  <si>
    <t>https://www.bchydro.com/news/conservation/2016/sell-electricity-at-your-home.html</t>
  </si>
  <si>
    <t>Corrected</t>
  </si>
  <si>
    <t>actual</t>
  </si>
  <si>
    <t>desired</t>
  </si>
  <si>
    <t>Correction Factor</t>
  </si>
  <si>
    <t>result</t>
  </si>
  <si>
    <t>Excess</t>
  </si>
  <si>
    <t>Average annual cost</t>
  </si>
  <si>
    <t>/10 kW</t>
  </si>
  <si>
    <t>/ W</t>
  </si>
  <si>
    <t>Depreciation 3</t>
  </si>
  <si>
    <t>Loan interest</t>
  </si>
  <si>
    <t>prime + 2%</t>
  </si>
  <si>
    <t>C</t>
  </si>
  <si>
    <t>Large setup</t>
  </si>
  <si>
    <t>Cost (extra conserv.)</t>
  </si>
  <si>
    <t>Loan Payment</t>
  </si>
  <si>
    <t>5 year</t>
  </si>
  <si>
    <t>15 year</t>
  </si>
  <si>
    <t>PAYMENT PERIOD</t>
  </si>
  <si>
    <t>Enter 0</t>
  </si>
  <si>
    <t>for cash</t>
  </si>
  <si>
    <t>Enter 5</t>
  </si>
  <si>
    <t>Enter 15</t>
  </si>
  <si>
    <t>for 5 year term loan</t>
  </si>
  <si>
    <t>for 15 year term loan</t>
  </si>
  <si>
    <t>http://mccac.ca/solar-calculator#output</t>
  </si>
  <si>
    <t>https://enlighten.enphaseenergy.com/pv/public_systems/EwPs64809/overview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</si>
</sst>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0.0%"/>
    <numFmt numFmtId="168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3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0"/>
      <color theme="1"/>
      <name val="Open Sans Regular"/>
    </font>
    <font>
      <sz val="11"/>
      <color theme="1"/>
      <name val="Open Sans Regular"/>
    </font>
    <font>
      <b/>
      <sz val="11"/>
      <color theme="1"/>
      <name val="Open Sans Regular"/>
    </font>
    <font>
      <sz val="11"/>
      <color theme="0" tint="-0.14999847407452621"/>
      <name val="Open Sans Regular"/>
    </font>
    <font>
      <b/>
      <sz val="11"/>
      <color theme="1"/>
      <name val="Open Sans"/>
      <family val="2"/>
    </font>
    <font>
      <sz val="90"/>
      <color theme="1"/>
      <name val="Open Sans"/>
      <family val="2"/>
    </font>
    <font>
      <sz val="11"/>
      <color theme="1"/>
      <name val="Open Sans"/>
      <family val="2"/>
    </font>
    <font>
      <sz val="11"/>
      <color theme="0" tint="-0.1499984740745262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167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4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0" borderId="1" xfId="0" applyFont="1" applyBorder="1"/>
    <xf numFmtId="44" fontId="2" fillId="0" borderId="1" xfId="1" applyFont="1" applyBorder="1"/>
    <xf numFmtId="166" fontId="2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  <xf numFmtId="2" fontId="3" fillId="0" borderId="1" xfId="3" applyNumberFormat="1" applyBorder="1"/>
    <xf numFmtId="0" fontId="2" fillId="0" borderId="6" xfId="0" applyFont="1" applyBorder="1" applyAlignment="1">
      <alignment horizontal="center" vertical="center"/>
    </xf>
    <xf numFmtId="0" fontId="3" fillId="0" borderId="7" xfId="3" applyBorder="1"/>
    <xf numFmtId="44" fontId="3" fillId="0" borderId="5" xfId="3" applyNumberFormat="1" applyBorder="1"/>
    <xf numFmtId="0" fontId="3" fillId="0" borderId="9" xfId="3" applyBorder="1"/>
    <xf numFmtId="44" fontId="3" fillId="0" borderId="0" xfId="3" applyNumberFormat="1" applyBorder="1"/>
    <xf numFmtId="0" fontId="2" fillId="0" borderId="11" xfId="0" applyFont="1" applyBorder="1"/>
    <xf numFmtId="166" fontId="2" fillId="0" borderId="12" xfId="0" applyNumberFormat="1" applyFont="1" applyBorder="1"/>
    <xf numFmtId="0" fontId="0" fillId="0" borderId="9" xfId="0" applyBorder="1"/>
    <xf numFmtId="44" fontId="0" fillId="0" borderId="0" xfId="1" applyFont="1" applyBorder="1"/>
    <xf numFmtId="44" fontId="0" fillId="0" borderId="0" xfId="1" applyNumberFormat="1" applyFont="1" applyBorder="1"/>
    <xf numFmtId="166" fontId="0" fillId="0" borderId="0" xfId="0" applyNumberFormat="1" applyFont="1" applyBorder="1"/>
    <xf numFmtId="0" fontId="2" fillId="0" borderId="0" xfId="0" applyFont="1" applyAlignment="1"/>
    <xf numFmtId="0" fontId="2" fillId="0" borderId="9" xfId="0" applyFont="1" applyBorder="1"/>
    <xf numFmtId="9" fontId="0" fillId="0" borderId="10" xfId="0" applyNumberFormat="1" applyBorder="1"/>
    <xf numFmtId="9" fontId="0" fillId="0" borderId="12" xfId="0" applyNumberFormat="1" applyBorder="1"/>
    <xf numFmtId="0" fontId="2" fillId="0" borderId="7" xfId="0" applyFon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8" xfId="0" applyBorder="1"/>
    <xf numFmtId="10" fontId="0" fillId="0" borderId="1" xfId="0" applyNumberFormat="1" applyBorder="1"/>
    <xf numFmtId="0" fontId="0" fillId="0" borderId="12" xfId="0" applyBorder="1"/>
    <xf numFmtId="0" fontId="5" fillId="2" borderId="11" xfId="0" applyFont="1" applyFill="1" applyBorder="1"/>
    <xf numFmtId="44" fontId="5" fillId="2" borderId="1" xfId="1" applyFont="1" applyFill="1" applyBorder="1"/>
    <xf numFmtId="166" fontId="5" fillId="2" borderId="1" xfId="0" applyNumberFormat="1" applyFont="1" applyFill="1" applyBorder="1"/>
    <xf numFmtId="44" fontId="4" fillId="2" borderId="2" xfId="1" applyFont="1" applyFill="1" applyBorder="1"/>
    <xf numFmtId="44" fontId="4" fillId="2" borderId="3" xfId="1" applyFont="1" applyFill="1" applyBorder="1"/>
    <xf numFmtId="44" fontId="4" fillId="2" borderId="4" xfId="1" applyFont="1" applyFill="1" applyBorder="1"/>
    <xf numFmtId="10" fontId="0" fillId="0" borderId="0" xfId="0" applyNumberFormat="1" applyBorder="1"/>
    <xf numFmtId="0" fontId="0" fillId="0" borderId="10" xfId="0" applyBorder="1"/>
    <xf numFmtId="2" fontId="3" fillId="0" borderId="0" xfId="3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5" xfId="0" applyBorder="1"/>
    <xf numFmtId="9" fontId="0" fillId="0" borderId="0" xfId="0" applyNumberFormat="1" applyBorder="1"/>
    <xf numFmtId="0" fontId="0" fillId="0" borderId="7" xfId="0" applyBorder="1"/>
    <xf numFmtId="0" fontId="2" fillId="0" borderId="12" xfId="0" applyFont="1" applyBorder="1"/>
    <xf numFmtId="0" fontId="0" fillId="0" borderId="0" xfId="0" applyBorder="1"/>
    <xf numFmtId="0" fontId="2" fillId="0" borderId="6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/>
    <xf numFmtId="0" fontId="8" fillId="0" borderId="0" xfId="4"/>
    <xf numFmtId="0" fontId="2" fillId="0" borderId="2" xfId="0" applyFont="1" applyBorder="1"/>
    <xf numFmtId="1" fontId="2" fillId="0" borderId="3" xfId="0" applyNumberFormat="1" applyFont="1" applyBorder="1"/>
    <xf numFmtId="44" fontId="2" fillId="0" borderId="3" xfId="0" applyNumberFormat="1" applyFont="1" applyBorder="1"/>
    <xf numFmtId="9" fontId="0" fillId="0" borderId="1" xfId="2" applyFont="1" applyBorder="1"/>
    <xf numFmtId="9" fontId="0" fillId="0" borderId="3" xfId="0" applyNumberFormat="1" applyBorder="1"/>
    <xf numFmtId="166" fontId="2" fillId="0" borderId="4" xfId="0" applyNumberFormat="1" applyFont="1" applyBorder="1"/>
    <xf numFmtId="44" fontId="0" fillId="0" borderId="1" xfId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9" fontId="0" fillId="0" borderId="0" xfId="2" applyFont="1" applyBorder="1"/>
    <xf numFmtId="166" fontId="0" fillId="0" borderId="0" xfId="0" applyNumberFormat="1" applyBorder="1"/>
    <xf numFmtId="0" fontId="0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 applyAlignment="1"/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44" fontId="12" fillId="0" borderId="0" xfId="1" applyFont="1"/>
    <xf numFmtId="166" fontId="12" fillId="0" borderId="0" xfId="0" applyNumberFormat="1" applyFont="1"/>
    <xf numFmtId="0" fontId="13" fillId="0" borderId="0" xfId="0" applyFont="1"/>
    <xf numFmtId="44" fontId="13" fillId="0" borderId="0" xfId="1" applyFont="1"/>
    <xf numFmtId="10" fontId="12" fillId="0" borderId="0" xfId="0" applyNumberFormat="1" applyFont="1"/>
    <xf numFmtId="0" fontId="13" fillId="0" borderId="6" xfId="0" applyFont="1" applyBorder="1" applyAlignment="1">
      <alignment horizontal="left" vertical="top"/>
    </xf>
    <xf numFmtId="10" fontId="12" fillId="0" borderId="8" xfId="0" applyNumberFormat="1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2" fillId="0" borderId="10" xfId="0" applyNumberFormat="1" applyFont="1" applyBorder="1"/>
    <xf numFmtId="0" fontId="13" fillId="0" borderId="6" xfId="0" applyFont="1" applyBorder="1"/>
    <xf numFmtId="0" fontId="13" fillId="0" borderId="6" xfId="0" applyFont="1" applyFill="1" applyBorder="1" applyAlignment="1">
      <alignment horizontal="left" vertical="top"/>
    </xf>
    <xf numFmtId="166" fontId="12" fillId="0" borderId="10" xfId="0" applyNumberFormat="1" applyFont="1" applyBorder="1"/>
    <xf numFmtId="1" fontId="12" fillId="0" borderId="0" xfId="0" applyNumberFormat="1" applyFont="1"/>
    <xf numFmtId="0" fontId="12" fillId="0" borderId="9" xfId="0" applyFont="1" applyBorder="1"/>
    <xf numFmtId="9" fontId="12" fillId="0" borderId="0" xfId="0" applyNumberFormat="1" applyFont="1" applyBorder="1"/>
    <xf numFmtId="1" fontId="12" fillId="0" borderId="0" xfId="0" applyNumberFormat="1" applyFont="1" applyBorder="1"/>
    <xf numFmtId="166" fontId="12" fillId="0" borderId="0" xfId="0" applyNumberFormat="1" applyFont="1" applyBorder="1"/>
    <xf numFmtId="44" fontId="12" fillId="0" borderId="0" xfId="1" applyFont="1" applyBorder="1"/>
    <xf numFmtId="44" fontId="12" fillId="0" borderId="10" xfId="1" applyFont="1" applyBorder="1"/>
    <xf numFmtId="166" fontId="12" fillId="0" borderId="12" xfId="0" applyNumberFormat="1" applyFont="1" applyBorder="1"/>
    <xf numFmtId="9" fontId="12" fillId="0" borderId="0" xfId="2" applyFont="1" applyBorder="1"/>
    <xf numFmtId="0" fontId="12" fillId="0" borderId="11" xfId="0" applyFont="1" applyBorder="1"/>
    <xf numFmtId="9" fontId="12" fillId="0" borderId="1" xfId="2" applyFont="1" applyBorder="1"/>
    <xf numFmtId="1" fontId="12" fillId="0" borderId="1" xfId="0" applyNumberFormat="1" applyFont="1" applyBorder="1"/>
    <xf numFmtId="166" fontId="12" fillId="0" borderId="1" xfId="0" applyNumberFormat="1" applyFont="1" applyBorder="1"/>
    <xf numFmtId="44" fontId="12" fillId="0" borderId="1" xfId="1" applyFont="1" applyBorder="1"/>
    <xf numFmtId="44" fontId="12" fillId="0" borderId="12" xfId="1" applyFont="1" applyBorder="1"/>
    <xf numFmtId="0" fontId="12" fillId="0" borderId="1" xfId="0" applyFont="1" applyBorder="1"/>
    <xf numFmtId="0" fontId="12" fillId="0" borderId="0" xfId="0" applyFont="1" applyBorder="1"/>
    <xf numFmtId="1" fontId="12" fillId="0" borderId="0" xfId="2" applyNumberFormat="1" applyFont="1" applyBorder="1"/>
    <xf numFmtId="166" fontId="12" fillId="0" borderId="0" xfId="1" applyNumberFormat="1" applyFont="1" applyBorder="1"/>
    <xf numFmtId="166" fontId="12" fillId="0" borderId="10" xfId="1" applyNumberFormat="1" applyFont="1" applyBorder="1"/>
    <xf numFmtId="9" fontId="12" fillId="0" borderId="0" xfId="2" applyFont="1"/>
    <xf numFmtId="166" fontId="12" fillId="0" borderId="1" xfId="1" applyNumberFormat="1" applyFont="1" applyBorder="1"/>
    <xf numFmtId="166" fontId="12" fillId="0" borderId="12" xfId="1" applyNumberFormat="1" applyFont="1" applyBorder="1"/>
    <xf numFmtId="165" fontId="12" fillId="0" borderId="0" xfId="0" applyNumberFormat="1" applyFont="1"/>
    <xf numFmtId="2" fontId="12" fillId="0" borderId="0" xfId="0" applyNumberFormat="1" applyFont="1" applyBorder="1"/>
    <xf numFmtId="165" fontId="12" fillId="0" borderId="10" xfId="0" applyNumberFormat="1" applyFont="1" applyBorder="1"/>
    <xf numFmtId="165" fontId="14" fillId="0" borderId="0" xfId="0" applyNumberFormat="1" applyFont="1"/>
    <xf numFmtId="166" fontId="12" fillId="0" borderId="0" xfId="1" applyNumberFormat="1" applyFont="1"/>
    <xf numFmtId="168" fontId="12" fillId="0" borderId="0" xfId="1" applyNumberFormat="1" applyFont="1"/>
    <xf numFmtId="10" fontId="13" fillId="0" borderId="0" xfId="0" applyNumberFormat="1" applyFont="1"/>
    <xf numFmtId="9" fontId="12" fillId="0" borderId="1" xfId="0" applyNumberFormat="1" applyFont="1" applyBorder="1"/>
    <xf numFmtId="2" fontId="12" fillId="0" borderId="1" xfId="0" applyNumberFormat="1" applyFont="1" applyBorder="1"/>
    <xf numFmtId="165" fontId="12" fillId="0" borderId="12" xfId="0" applyNumberFormat="1" applyFont="1" applyBorder="1"/>
    <xf numFmtId="0" fontId="0" fillId="0" borderId="4" xfId="0" applyBorder="1"/>
    <xf numFmtId="166" fontId="0" fillId="0" borderId="2" xfId="0" applyNumberFormat="1" applyFont="1" applyBorder="1"/>
    <xf numFmtId="166" fontId="5" fillId="2" borderId="2" xfId="0" applyNumberFormat="1" applyFont="1" applyFill="1" applyBorder="1"/>
    <xf numFmtId="44" fontId="0" fillId="0" borderId="6" xfId="1" applyFont="1" applyBorder="1"/>
    <xf numFmtId="0" fontId="13" fillId="0" borderId="13" xfId="0" applyFont="1" applyBorder="1" applyAlignment="1">
      <alignment horizontal="center" vertical="center"/>
    </xf>
    <xf numFmtId="9" fontId="0" fillId="0" borderId="5" xfId="2" applyFont="1" applyBorder="1"/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5" xfId="2" applyFont="1" applyBorder="1"/>
    <xf numFmtId="9" fontId="2" fillId="0" borderId="15" xfId="0" applyNumberFormat="1" applyFont="1" applyBorder="1"/>
    <xf numFmtId="2" fontId="3" fillId="0" borderId="5" xfId="3" applyNumberFormat="1" applyBorder="1"/>
    <xf numFmtId="2" fontId="0" fillId="0" borderId="5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2" fillId="0" borderId="10" xfId="0" applyFont="1" applyBorder="1"/>
    <xf numFmtId="0" fontId="12" fillId="0" borderId="12" xfId="0" applyFont="1" applyBorder="1"/>
    <xf numFmtId="0" fontId="13" fillId="0" borderId="2" xfId="0" applyFont="1" applyBorder="1"/>
    <xf numFmtId="2" fontId="13" fillId="0" borderId="3" xfId="0" applyNumberFormat="1" applyFont="1" applyBorder="1"/>
    <xf numFmtId="0" fontId="13" fillId="0" borderId="4" xfId="0" applyFont="1" applyBorder="1"/>
    <xf numFmtId="0" fontId="13" fillId="0" borderId="0" xfId="0" applyFont="1" applyBorder="1" applyAlignment="1">
      <alignment horizontal="center"/>
    </xf>
    <xf numFmtId="167" fontId="0" fillId="0" borderId="10" xfId="0" applyNumberFormat="1" applyBorder="1"/>
    <xf numFmtId="167" fontId="0" fillId="0" borderId="12" xfId="0" applyNumberFormat="1" applyBorder="1"/>
    <xf numFmtId="0" fontId="13" fillId="0" borderId="0" xfId="0" applyFont="1" applyBorder="1" applyAlignment="1">
      <alignment horizontal="center" vertical="center"/>
    </xf>
    <xf numFmtId="165" fontId="12" fillId="0" borderId="0" xfId="0" applyNumberFormat="1" applyFont="1" applyBorder="1"/>
    <xf numFmtId="0" fontId="12" fillId="0" borderId="7" xfId="0" applyFont="1" applyBorder="1"/>
    <xf numFmtId="9" fontId="12" fillId="0" borderId="5" xfId="0" applyNumberFormat="1" applyFont="1" applyBorder="1"/>
    <xf numFmtId="1" fontId="12" fillId="0" borderId="5" xfId="0" applyNumberFormat="1" applyFont="1" applyBorder="1"/>
    <xf numFmtId="166" fontId="12" fillId="0" borderId="5" xfId="0" applyNumberFormat="1" applyFont="1" applyBorder="1"/>
    <xf numFmtId="44" fontId="12" fillId="0" borderId="5" xfId="1" applyFont="1" applyBorder="1"/>
    <xf numFmtId="44" fontId="12" fillId="0" borderId="8" xfId="1" applyFont="1" applyBorder="1"/>
    <xf numFmtId="0" fontId="2" fillId="0" borderId="6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5" fillId="0" borderId="6" xfId="0" applyFont="1" applyBorder="1"/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10" fontId="17" fillId="0" borderId="8" xfId="0" applyNumberFormat="1" applyFont="1" applyBorder="1"/>
    <xf numFmtId="0" fontId="17" fillId="0" borderId="6" xfId="0" applyFont="1" applyBorder="1"/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10" fontId="17" fillId="0" borderId="10" xfId="0" applyNumberFormat="1" applyFont="1" applyBorder="1"/>
    <xf numFmtId="0" fontId="17" fillId="0" borderId="9" xfId="0" applyFont="1" applyBorder="1"/>
    <xf numFmtId="1" fontId="17" fillId="0" borderId="0" xfId="0" applyNumberFormat="1" applyFont="1" applyBorder="1"/>
    <xf numFmtId="1" fontId="17" fillId="0" borderId="10" xfId="0" applyNumberFormat="1" applyFont="1" applyBorder="1"/>
    <xf numFmtId="0" fontId="15" fillId="0" borderId="13" xfId="0" applyFont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top"/>
    </xf>
    <xf numFmtId="165" fontId="17" fillId="0" borderId="10" xfId="0" applyNumberFormat="1" applyFont="1" applyBorder="1"/>
    <xf numFmtId="0" fontId="17" fillId="0" borderId="7" xfId="0" applyFont="1" applyBorder="1"/>
    <xf numFmtId="9" fontId="17" fillId="0" borderId="5" xfId="0" applyNumberFormat="1" applyFont="1" applyBorder="1"/>
    <xf numFmtId="1" fontId="17" fillId="0" borderId="5" xfId="0" applyNumberFormat="1" applyFont="1" applyBorder="1"/>
    <xf numFmtId="166" fontId="17" fillId="0" borderId="5" xfId="0" applyNumberFormat="1" applyFont="1" applyBorder="1"/>
    <xf numFmtId="44" fontId="17" fillId="0" borderId="5" xfId="1" applyFont="1" applyBorder="1"/>
    <xf numFmtId="166" fontId="17" fillId="0" borderId="8" xfId="1" applyNumberFormat="1" applyFont="1" applyBorder="1"/>
    <xf numFmtId="165" fontId="17" fillId="0" borderId="12" xfId="0" applyNumberFormat="1" applyFont="1" applyBorder="1"/>
    <xf numFmtId="9" fontId="17" fillId="0" borderId="0" xfId="2" applyFont="1" applyBorder="1"/>
    <xf numFmtId="166" fontId="17" fillId="0" borderId="0" xfId="0" applyNumberFormat="1" applyFont="1" applyBorder="1"/>
    <xf numFmtId="44" fontId="17" fillId="0" borderId="0" xfId="1" applyFont="1" applyBorder="1"/>
    <xf numFmtId="166" fontId="17" fillId="0" borderId="10" xfId="1" applyNumberFormat="1" applyFont="1" applyBorder="1"/>
    <xf numFmtId="0" fontId="17" fillId="0" borderId="11" xfId="0" applyFont="1" applyBorder="1"/>
    <xf numFmtId="9" fontId="17" fillId="0" borderId="1" xfId="2" applyFont="1" applyBorder="1"/>
    <xf numFmtId="1" fontId="17" fillId="0" borderId="1" xfId="0" applyNumberFormat="1" applyFont="1" applyBorder="1"/>
    <xf numFmtId="166" fontId="17" fillId="0" borderId="1" xfId="0" applyNumberFormat="1" applyFont="1" applyBorder="1"/>
    <xf numFmtId="44" fontId="17" fillId="0" borderId="1" xfId="1" applyFont="1" applyBorder="1"/>
    <xf numFmtId="166" fontId="17" fillId="0" borderId="12" xfId="1" applyNumberFormat="1" applyFont="1" applyBorder="1"/>
    <xf numFmtId="0" fontId="17" fillId="0" borderId="0" xfId="0" applyFont="1" applyBorder="1"/>
    <xf numFmtId="0" fontId="15" fillId="0" borderId="2" xfId="0" applyFont="1" applyBorder="1"/>
    <xf numFmtId="1" fontId="15" fillId="0" borderId="3" xfId="0" applyNumberFormat="1" applyFont="1" applyBorder="1"/>
    <xf numFmtId="1" fontId="15" fillId="0" borderId="4" xfId="0" applyNumberFormat="1" applyFont="1" applyBorder="1"/>
    <xf numFmtId="1" fontId="17" fillId="0" borderId="0" xfId="0" applyNumberFormat="1" applyFont="1"/>
    <xf numFmtId="0" fontId="15" fillId="0" borderId="0" xfId="0" applyFont="1"/>
    <xf numFmtId="166" fontId="17" fillId="0" borderId="0" xfId="1" applyNumberFormat="1" applyFont="1" applyBorder="1"/>
    <xf numFmtId="0" fontId="15" fillId="0" borderId="6" xfId="0" applyFont="1" applyBorder="1" applyAlignment="1">
      <alignment horizontal="center" vertical="center"/>
    </xf>
    <xf numFmtId="9" fontId="17" fillId="0" borderId="0" xfId="0" applyNumberFormat="1" applyFont="1" applyBorder="1"/>
    <xf numFmtId="2" fontId="17" fillId="0" borderId="0" xfId="0" applyNumberFormat="1" applyFont="1" applyBorder="1"/>
    <xf numFmtId="165" fontId="18" fillId="0" borderId="0" xfId="0" applyNumberFormat="1" applyFont="1"/>
    <xf numFmtId="9" fontId="17" fillId="0" borderId="1" xfId="0" applyNumberFormat="1" applyFont="1" applyBorder="1"/>
    <xf numFmtId="0" fontId="17" fillId="0" borderId="1" xfId="0" applyFont="1" applyBorder="1"/>
    <xf numFmtId="0" fontId="0" fillId="0" borderId="14" xfId="0" applyBorder="1"/>
    <xf numFmtId="0" fontId="0" fillId="0" borderId="15" xfId="0" applyBorder="1"/>
    <xf numFmtId="44" fontId="17" fillId="0" borderId="0" xfId="1" applyFont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44" fontId="3" fillId="0" borderId="7" xfId="3" applyNumberFormat="1" applyBorder="1" applyAlignment="1">
      <alignment horizontal="center" vertical="center"/>
    </xf>
    <xf numFmtId="44" fontId="3" fillId="0" borderId="5" xfId="3" applyNumberFormat="1" applyBorder="1" applyAlignment="1">
      <alignment horizontal="center" vertical="center"/>
    </xf>
    <xf numFmtId="44" fontId="3" fillId="0" borderId="8" xfId="3" applyNumberFormat="1" applyBorder="1" applyAlignment="1">
      <alignment horizontal="center" vertical="center"/>
    </xf>
    <xf numFmtId="44" fontId="3" fillId="0" borderId="9" xfId="3" applyNumberFormat="1" applyBorder="1" applyAlignment="1">
      <alignment horizontal="center" vertical="center"/>
    </xf>
    <xf numFmtId="44" fontId="3" fillId="0" borderId="0" xfId="3" applyNumberFormat="1" applyBorder="1" applyAlignment="1">
      <alignment horizontal="center" vertical="center"/>
    </xf>
    <xf numFmtId="44" fontId="3" fillId="0" borderId="10" xfId="3" applyNumberFormat="1" applyBorder="1" applyAlignment="1">
      <alignment horizontal="center" vertical="center"/>
    </xf>
    <xf numFmtId="44" fontId="3" fillId="0" borderId="11" xfId="3" applyNumberFormat="1" applyBorder="1" applyAlignment="1">
      <alignment horizontal="center" vertical="center"/>
    </xf>
    <xf numFmtId="44" fontId="3" fillId="0" borderId="1" xfId="3" applyNumberFormat="1" applyBorder="1" applyAlignment="1">
      <alignment horizontal="center" vertical="center"/>
    </xf>
    <xf numFmtId="44" fontId="3" fillId="0" borderId="12" xfId="3" applyNumberForma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 wrapText="1"/>
    </xf>
    <xf numFmtId="0" fontId="13" fillId="0" borderId="13" xfId="0" applyFont="1" applyFill="1" applyBorder="1" applyAlignment="1">
      <alignment horizontal="center" vertical="center"/>
    </xf>
    <xf numFmtId="9" fontId="12" fillId="0" borderId="5" xfId="2" applyFont="1" applyBorder="1"/>
    <xf numFmtId="1" fontId="12" fillId="0" borderId="5" xfId="2" applyNumberFormat="1" applyFont="1" applyBorder="1"/>
    <xf numFmtId="166" fontId="12" fillId="0" borderId="5" xfId="1" applyNumberFormat="1" applyFont="1" applyBorder="1"/>
    <xf numFmtId="166" fontId="12" fillId="0" borderId="8" xfId="1" applyNumberFormat="1" applyFont="1" applyBorder="1"/>
    <xf numFmtId="166" fontId="12" fillId="0" borderId="8" xfId="0" applyNumberFormat="1" applyFont="1" applyBorder="1"/>
    <xf numFmtId="2" fontId="17" fillId="0" borderId="5" xfId="0" applyNumberFormat="1" applyFont="1" applyBorder="1"/>
    <xf numFmtId="0" fontId="17" fillId="0" borderId="5" xfId="0" applyFont="1" applyBorder="1"/>
    <xf numFmtId="165" fontId="17" fillId="0" borderId="8" xfId="0" applyNumberFormat="1" applyFont="1" applyBorder="1"/>
    <xf numFmtId="2" fontId="17" fillId="0" borderId="1" xfId="0" applyNumberFormat="1" applyFont="1" applyBorder="1"/>
    <xf numFmtId="44" fontId="0" fillId="0" borderId="0" xfId="0" applyNumberFormat="1" applyBorder="1"/>
    <xf numFmtId="166" fontId="0" fillId="0" borderId="10" xfId="0" applyNumberFormat="1" applyBorder="1"/>
    <xf numFmtId="1" fontId="0" fillId="0" borderId="0" xfId="0" applyNumberFormat="1" applyBorder="1"/>
    <xf numFmtId="44" fontId="0" fillId="0" borderId="10" xfId="1" applyFont="1" applyBorder="1"/>
    <xf numFmtId="44" fontId="0" fillId="0" borderId="12" xfId="1" applyFont="1" applyBorder="1"/>
    <xf numFmtId="0" fontId="0" fillId="0" borderId="2" xfId="0" applyBorder="1"/>
    <xf numFmtId="0" fontId="0" fillId="0" borderId="3" xfId="0" applyBorder="1"/>
    <xf numFmtId="165" fontId="0" fillId="0" borderId="0" xfId="0" applyNumberFormat="1" applyBorder="1"/>
    <xf numFmtId="165" fontId="0" fillId="0" borderId="1" xfId="0" applyNumberFormat="1" applyBorder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9" fontId="17" fillId="0" borderId="0" xfId="0" applyNumberFormat="1" applyFont="1"/>
    <xf numFmtId="0" fontId="17" fillId="0" borderId="0" xfId="0" applyNumberFormat="1" applyFont="1"/>
    <xf numFmtId="166" fontId="17" fillId="0" borderId="0" xfId="0" applyNumberFormat="1" applyFont="1"/>
    <xf numFmtId="44" fontId="17" fillId="0" borderId="0" xfId="0" applyNumberFormat="1" applyFont="1"/>
    <xf numFmtId="44" fontId="15" fillId="0" borderId="0" xfId="1" applyFont="1"/>
    <xf numFmtId="0" fontId="17" fillId="3" borderId="0" xfId="0" applyFont="1" applyFill="1"/>
    <xf numFmtId="166" fontId="15" fillId="0" borderId="0" xfId="0" applyNumberFormat="1" applyFont="1"/>
    <xf numFmtId="0" fontId="17" fillId="4" borderId="0" xfId="0" applyFont="1" applyFill="1"/>
  </cellXfs>
  <cellStyles count="5">
    <cellStyle name="Currency" xfId="1" builtinId="4"/>
    <cellStyle name="Explanatory Text" xfId="3" builtinId="53"/>
    <cellStyle name="Normal" xfId="0" builtinId="0"/>
    <cellStyle name="Percent" xfId="2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Constants!$M$6:$M$12</c:f>
              <c:numCache>
                <c:formatCode>General</c:formatCode>
                <c:ptCount val="7"/>
                <c:pt idx="0">
                  <c:v>90</c:v>
                </c:pt>
                <c:pt idx="1">
                  <c:v>53</c:v>
                </c:pt>
                <c:pt idx="2">
                  <c:v>45</c:v>
                </c:pt>
                <c:pt idx="3">
                  <c:v>35</c:v>
                </c:pt>
                <c:pt idx="4">
                  <c:v>27</c:v>
                </c:pt>
                <c:pt idx="5">
                  <c:v>18</c:v>
                </c:pt>
                <c:pt idx="6">
                  <c:v>14</c:v>
                </c:pt>
              </c:numCache>
            </c:numRef>
          </c:xVal>
          <c:yVal>
            <c:numRef>
              <c:f>Constants!$N$6:$N$12</c:f>
              <c:numCache>
                <c:formatCode>0.0%</c:formatCode>
                <c:ptCount val="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0.03</c:v>
                </c:pt>
                <c:pt idx="4">
                  <c:v>0.04</c:v>
                </c:pt>
                <c:pt idx="5">
                  <c:v>4.7E-2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B54B-B429-26F1430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28687"/>
        <c:axId val="844545663"/>
      </c:scatterChart>
      <c:valAx>
        <c:axId val="860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5663"/>
        <c:crosses val="autoZero"/>
        <c:crossBetween val="midCat"/>
      </c:valAx>
      <c:valAx>
        <c:axId val="844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(C)'!$H$91:$H$130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(C)'!$L$91:$L$130</c:f>
              <c:numCache>
                <c:formatCode>_("$"* #,##0.00_);_("$"* \(#,##0.00\);_("$"* "-"??_);_(@_)</c:formatCode>
                <c:ptCount val="40"/>
                <c:pt idx="0">
                  <c:v>11.028953535883605</c:v>
                </c:pt>
                <c:pt idx="1">
                  <c:v>23.001349450083836</c:v>
                </c:pt>
                <c:pt idx="2">
                  <c:v>35.982114327609168</c:v>
                </c:pt>
                <c:pt idx="3">
                  <c:v>50.040276973543527</c:v>
                </c:pt>
                <c:pt idx="4">
                  <c:v>65.249214891318971</c:v>
                </c:pt>
                <c:pt idx="5">
                  <c:v>81.686915070008141</c:v>
                </c:pt>
                <c:pt idx="6">
                  <c:v>99.436249890850746</c:v>
                </c:pt>
                <c:pt idx="7">
                  <c:v>118.58526900824766</c:v>
                </c:pt>
                <c:pt idx="8">
                  <c:v>139.22750810795171</c:v>
                </c:pt>
                <c:pt idx="9">
                  <c:v>161.46231549526593</c:v>
                </c:pt>
                <c:pt idx="10">
                  <c:v>185.39519751890103</c:v>
                </c:pt>
                <c:pt idx="11">
                  <c:v>211.13818389185496</c:v>
                </c:pt>
                <c:pt idx="12">
                  <c:v>238.81021402944472</c:v>
                </c:pt>
                <c:pt idx="13">
                  <c:v>268.53754558659693</c:v>
                </c:pt>
                <c:pt idx="14">
                  <c:v>300.45418644185492</c:v>
                </c:pt>
                <c:pt idx="15">
                  <c:v>334.7023514444877</c:v>
                </c:pt>
                <c:pt idx="16">
                  <c:v>371.43294531376785</c:v>
                </c:pt>
                <c:pt idx="17">
                  <c:v>410.80607315612286</c:v>
                </c:pt>
                <c:pt idx="18">
                  <c:v>452.99158014668444</c:v>
                </c:pt>
                <c:pt idx="19">
                  <c:v>498.1696220069764</c:v>
                </c:pt>
                <c:pt idx="20">
                  <c:v>546.53126800033976</c:v>
                </c:pt>
                <c:pt idx="21">
                  <c:v>598.27913826142253</c:v>
                </c:pt>
                <c:pt idx="22">
                  <c:v>653.62807737596881</c:v>
                </c:pt>
                <c:pt idx="23">
                  <c:v>712.80586623244358</c:v>
                </c:pt>
                <c:pt idx="24">
                  <c:v>776.05397427808032</c:v>
                </c:pt>
                <c:pt idx="25">
                  <c:v>843.62835442899109</c:v>
                </c:pt>
                <c:pt idx="26">
                  <c:v>915.8002830073998</c:v>
                </c:pt>
                <c:pt idx="27">
                  <c:v>992.8572472091671</c:v>
                </c:pt>
                <c:pt idx="28">
                  <c:v>1075.1038827419302</c:v>
                </c:pt>
                <c:pt idx="29">
                  <c:v>1162.8629644187702</c:v>
                </c:pt>
                <c:pt idx="30">
                  <c:v>1256.4764526447466</c:v>
                </c:pt>
                <c:pt idx="31">
                  <c:v>1356.3065988942888</c:v>
                </c:pt>
                <c:pt idx="32">
                  <c:v>1462.7371134468167</c:v>
                </c:pt>
                <c:pt idx="33">
                  <c:v>1576.1743988264623</c:v>
                </c:pt>
                <c:pt idx="34">
                  <c:v>1697.0488525799403</c:v>
                </c:pt>
                <c:pt idx="35">
                  <c:v>1825.8162432249471</c:v>
                </c:pt>
                <c:pt idx="36">
                  <c:v>1962.9591634105129</c:v>
                </c:pt>
                <c:pt idx="37">
                  <c:v>2108.9885645510567</c:v>
                </c:pt>
                <c:pt idx="38">
                  <c:v>2264.4453774281101</c:v>
                </c:pt>
                <c:pt idx="39">
                  <c:v>2429.9022234984168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8-4524-A324-43011D1441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(C)'!$H$91:$H$130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(C)'!$N$91:$N$130</c:f>
              <c:numCache>
                <c:formatCode>"$"#,##0.00_);[Red]\("$"#,##0.00\)</c:formatCode>
                <c:ptCount val="40"/>
                <c:pt idx="0">
                  <c:v>11690.31271236555</c:v>
                </c:pt>
                <c:pt idx="1">
                  <c:v>5937.3912811146356</c:v>
                </c:pt>
                <c:pt idx="2">
                  <c:v>4044.8336509477522</c:v>
                </c:pt>
                <c:pt idx="3">
                  <c:v>3114.9226842277258</c:v>
                </c:pt>
                <c:pt idx="4">
                  <c:v>2568.3201404351121</c:v>
                </c:pt>
                <c:pt idx="5">
                  <c:v>2212.0682073771582</c:v>
                </c:pt>
                <c:pt idx="6">
                  <c:v>1963.5909236494217</c:v>
                </c:pt>
                <c:pt idx="7">
                  <c:v>1781.6954999372774</c:v>
                </c:pt>
                <c:pt idx="8">
                  <c:v>1643.5735462231703</c:v>
                </c:pt>
                <c:pt idx="9">
                  <c:v>1535.6022114794812</c:v>
                </c:pt>
                <c:pt idx="10">
                  <c:v>1449.1634237920314</c:v>
                </c:pt>
                <c:pt idx="11">
                  <c:v>1378.5539638915645</c:v>
                </c:pt>
                <c:pt idx="12">
                  <c:v>1319.8605032783928</c:v>
                </c:pt>
                <c:pt idx="13">
                  <c:v>1270.3170944020112</c:v>
                </c:pt>
                <c:pt idx="14">
                  <c:v>1227.9199426730238</c:v>
                </c:pt>
                <c:pt idx="15">
                  <c:v>1191.1868771788475</c:v>
                </c:pt>
                <c:pt idx="16">
                  <c:v>1159.0019189896905</c:v>
                </c:pt>
                <c:pt idx="17">
                  <c:v>1130.5118368207286</c:v>
                </c:pt>
                <c:pt idx="18">
                  <c:v>1105.0555222724215</c:v>
                </c:pt>
                <c:pt idx="19">
                  <c:v>1082.114685123448</c:v>
                </c:pt>
                <c:pt idx="20">
                  <c:v>1061.2787509228961</c:v>
                </c:pt>
                <c:pt idx="21">
                  <c:v>1042.2194322812365</c:v>
                </c:pt>
                <c:pt idx="22">
                  <c:v>1024.6720211984994</c:v>
                </c:pt>
                <c:pt idx="23">
                  <c:v>1008.4214346704914</c:v>
                </c:pt>
                <c:pt idx="24">
                  <c:v>993.29167609881551</c:v>
                </c:pt>
                <c:pt idx="25">
                  <c:v>979.13778709317694</c:v>
                </c:pt>
                <c:pt idx="26">
                  <c:v>965.8396389215261</c:v>
                </c:pt>
                <c:pt idx="27">
                  <c:v>953.29709920796972</c:v>
                </c:pt>
                <c:pt idx="28">
                  <c:v>941.42623795899544</c:v>
                </c:pt>
                <c:pt idx="29">
                  <c:v>930.15632690577365</c:v>
                </c:pt>
                <c:pt idx="30">
                  <c:v>919.42744992940675</c:v>
                </c:pt>
                <c:pt idx="31">
                  <c:v>909.18858815398994</c:v>
                </c:pt>
                <c:pt idx="32">
                  <c:v>899.39607659379658</c:v>
                </c:pt>
                <c:pt idx="33">
                  <c:v>890.01235370869995</c:v>
                </c:pt>
                <c:pt idx="34">
                  <c:v>881.00494338147473</c:v>
                </c:pt>
                <c:pt idx="35">
                  <c:v>872.34562243541313</c:v>
                </c:pt>
                <c:pt idx="36">
                  <c:v>864.00973709294306</c:v>
                </c:pt>
                <c:pt idx="37">
                  <c:v>855.97563961102378</c:v>
                </c:pt>
                <c:pt idx="38">
                  <c:v>848.22422234542341</c:v>
                </c:pt>
                <c:pt idx="39">
                  <c:v>840.73853114909002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8-4524-A324-43011D14414B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(C)'!$H$91:$H$130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(C)'!$O$91:$O$130</c:f>
              <c:numCache>
                <c:formatCode>"$"#,##0.00_);[Red]\("$"#,##0.00\)</c:formatCode>
                <c:ptCount val="40"/>
                <c:pt idx="0">
                  <c:v>840.73853114909002</c:v>
                </c:pt>
                <c:pt idx="1">
                  <c:v>840.73853114909002</c:v>
                </c:pt>
                <c:pt idx="2">
                  <c:v>840.73853114909002</c:v>
                </c:pt>
                <c:pt idx="3">
                  <c:v>840.73853114909002</c:v>
                </c:pt>
                <c:pt idx="4">
                  <c:v>840.73853114909002</c:v>
                </c:pt>
                <c:pt idx="5">
                  <c:v>840.73853114909002</c:v>
                </c:pt>
                <c:pt idx="6">
                  <c:v>840.73853114909002</c:v>
                </c:pt>
                <c:pt idx="7">
                  <c:v>840.73853114909002</c:v>
                </c:pt>
                <c:pt idx="8">
                  <c:v>840.73853114909002</c:v>
                </c:pt>
                <c:pt idx="9">
                  <c:v>840.73853114909002</c:v>
                </c:pt>
                <c:pt idx="10">
                  <c:v>840.73853114909002</c:v>
                </c:pt>
                <c:pt idx="11">
                  <c:v>840.73853114909002</c:v>
                </c:pt>
                <c:pt idx="12">
                  <c:v>840.73853114909002</c:v>
                </c:pt>
                <c:pt idx="13">
                  <c:v>840.73853114909002</c:v>
                </c:pt>
                <c:pt idx="14">
                  <c:v>840.73853114909002</c:v>
                </c:pt>
                <c:pt idx="15">
                  <c:v>840.73853114909002</c:v>
                </c:pt>
                <c:pt idx="16">
                  <c:v>840.73853114909002</c:v>
                </c:pt>
                <c:pt idx="17">
                  <c:v>840.73853114909002</c:v>
                </c:pt>
                <c:pt idx="18">
                  <c:v>840.73853114909002</c:v>
                </c:pt>
                <c:pt idx="19">
                  <c:v>840.73853114909002</c:v>
                </c:pt>
                <c:pt idx="20">
                  <c:v>840.73853114909002</c:v>
                </c:pt>
                <c:pt idx="21">
                  <c:v>840.73853114909002</c:v>
                </c:pt>
                <c:pt idx="22">
                  <c:v>840.73853114909002</c:v>
                </c:pt>
                <c:pt idx="23">
                  <c:v>840.73853114909002</c:v>
                </c:pt>
                <c:pt idx="24">
                  <c:v>840.73853114909002</c:v>
                </c:pt>
                <c:pt idx="25">
                  <c:v>840.73853114909002</c:v>
                </c:pt>
                <c:pt idx="26">
                  <c:v>840.73853114909002</c:v>
                </c:pt>
                <c:pt idx="27">
                  <c:v>840.73853114909002</c:v>
                </c:pt>
                <c:pt idx="28">
                  <c:v>840.73853114909002</c:v>
                </c:pt>
                <c:pt idx="29">
                  <c:v>840.73853114909002</c:v>
                </c:pt>
                <c:pt idx="30">
                  <c:v>840.73853114909002</c:v>
                </c:pt>
                <c:pt idx="31">
                  <c:v>840.73853114909002</c:v>
                </c:pt>
                <c:pt idx="32">
                  <c:v>840.73853114909002</c:v>
                </c:pt>
                <c:pt idx="33">
                  <c:v>840.73853114909002</c:v>
                </c:pt>
                <c:pt idx="34">
                  <c:v>840.73853114909002</c:v>
                </c:pt>
                <c:pt idx="35">
                  <c:v>840.73853114909002</c:v>
                </c:pt>
                <c:pt idx="36">
                  <c:v>840.73853114909002</c:v>
                </c:pt>
                <c:pt idx="37">
                  <c:v>840.73853114909002</c:v>
                </c:pt>
                <c:pt idx="38">
                  <c:v>840.73853114909002</c:v>
                </c:pt>
                <c:pt idx="39">
                  <c:v>840.73853114909002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28-4524-A324-43011D14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72319"/>
        <c:axId val="560126847"/>
      </c:scatterChart>
      <c:valAx>
        <c:axId val="5954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60126847"/>
        <c:crosses val="autoZero"/>
        <c:crossBetween val="midCat"/>
      </c:valAx>
      <c:valAx>
        <c:axId val="560126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547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$/kW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Constants!$C$34:$C$39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Constants!$D$34:$D$39</c:f>
              <c:numCache>
                <c:formatCode>_("$"* #,##0.00_);_("$"* \(#,##0.00\);_("$"* "-"??_);_(@_)</c:formatCode>
                <c:ptCount val="6"/>
                <c:pt idx="1">
                  <c:v>4</c:v>
                </c:pt>
                <c:pt idx="2">
                  <c:v>3.25</c:v>
                </c:pt>
                <c:pt idx="3">
                  <c:v>2.85</c:v>
                </c:pt>
                <c:pt idx="4">
                  <c:v>2.75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5-BF46-8BF1-FB5B048501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Constants!$C$34:$C$39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Constants!$E$34:$E$39</c:f>
              <c:numCache>
                <c:formatCode>0.00</c:formatCode>
                <c:ptCount val="6"/>
                <c:pt idx="0">
                  <c:v>5.8</c:v>
                </c:pt>
                <c:pt idx="1">
                  <c:v>4.2</c:v>
                </c:pt>
                <c:pt idx="2">
                  <c:v>3.1333333333333333</c:v>
                </c:pt>
                <c:pt idx="3">
                  <c:v>2.7230769230769232</c:v>
                </c:pt>
                <c:pt idx="4">
                  <c:v>2.5058823529411764</c:v>
                </c:pt>
                <c:pt idx="5">
                  <c:v>2.3714285714285714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5-BF46-8BF1-FB5B0485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73359"/>
        <c:axId val="591366015"/>
      </c:scatterChart>
      <c:valAx>
        <c:axId val="5904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6015"/>
        <c:crosses val="autoZero"/>
        <c:crossBetween val="midCat"/>
      </c:valAx>
      <c:valAx>
        <c:axId val="591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Constants!$L$34:$L$38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Constants!$O$34:$O$38</c:f>
              <c:numCache>
                <c:formatCode>_("$"* #,##0.00_);_("$"* \(#,##0.00\);_("$"* "-"??_);_(@_)</c:formatCode>
                <c:ptCount val="5"/>
                <c:pt idx="0">
                  <c:v>9500</c:v>
                </c:pt>
                <c:pt idx="1">
                  <c:v>16000</c:v>
                </c:pt>
                <c:pt idx="2">
                  <c:v>21600</c:v>
                </c:pt>
                <c:pt idx="3">
                  <c:v>28000</c:v>
                </c:pt>
                <c:pt idx="4">
                  <c:v>32500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C74D-B3C2-509102A4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19967"/>
        <c:axId val="598955183"/>
      </c:scatterChart>
      <c:valAx>
        <c:axId val="5942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55183"/>
        <c:crosses val="autoZero"/>
        <c:crossBetween val="midCat"/>
      </c:valAx>
      <c:valAx>
        <c:axId val="5989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Effective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Weather!$G$8:$G$19</c:f>
              <c:numCache>
                <c:formatCode>0.00</c:formatCode>
                <c:ptCount val="12"/>
                <c:pt idx="0">
                  <c:v>134.62384499999999</c:v>
                </c:pt>
                <c:pt idx="1">
                  <c:v>146.64569599999999</c:v>
                </c:pt>
                <c:pt idx="2">
                  <c:v>179.49845999999999</c:v>
                </c:pt>
                <c:pt idx="3">
                  <c:v>224.37307500000003</c:v>
                </c:pt>
                <c:pt idx="4">
                  <c:v>269.24768999999998</c:v>
                </c:pt>
                <c:pt idx="5">
                  <c:v>302.10045399999996</c:v>
                </c:pt>
                <c:pt idx="6">
                  <c:v>314.12230499999998</c:v>
                </c:pt>
                <c:pt idx="7">
                  <c:v>302.10045399999996</c:v>
                </c:pt>
                <c:pt idx="8">
                  <c:v>269.24768999999998</c:v>
                </c:pt>
                <c:pt idx="9">
                  <c:v>224.37307500000003</c:v>
                </c:pt>
                <c:pt idx="10">
                  <c:v>179.49845999999999</c:v>
                </c:pt>
                <c:pt idx="11">
                  <c:v>146.64569599999999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281-B760-8A9C032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Corrected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Weather!$I$8:$I$19</c:f>
              <c:numCache>
                <c:formatCode>0.00</c:formatCode>
                <c:ptCount val="12"/>
                <c:pt idx="0">
                  <c:v>34.052857386462136</c:v>
                </c:pt>
                <c:pt idx="1">
                  <c:v>51.516548412099887</c:v>
                </c:pt>
                <c:pt idx="2">
                  <c:v>93.635149594462234</c:v>
                </c:pt>
                <c:pt idx="3">
                  <c:v>161.17867600692199</c:v>
                </c:pt>
                <c:pt idx="4">
                  <c:v>239.28057741876904</c:v>
                </c:pt>
                <c:pt idx="5">
                  <c:v>298.1888011278557</c:v>
                </c:pt>
                <c:pt idx="6">
                  <c:v>310.05499096492167</c:v>
                </c:pt>
                <c:pt idx="7">
                  <c:v>268.47684773671511</c:v>
                </c:pt>
                <c:pt idx="8">
                  <c:v>193.41441120830638</c:v>
                </c:pt>
                <c:pt idx="9">
                  <c:v>117.04393699307781</c:v>
                </c:pt>
                <c:pt idx="10">
                  <c:v>63.057705454153776</c:v>
                </c:pt>
                <c:pt idx="11">
                  <c:v>37.093762789396493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54C-B759-69B595EE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Consumption!$D$9:$D$20</c:f>
              <c:numCache>
                <c:formatCode>0.00</c:formatCode>
                <c:ptCount val="12"/>
                <c:pt idx="0">
                  <c:v>751.57009042842367</c:v>
                </c:pt>
                <c:pt idx="1">
                  <c:v>726.25333333333333</c:v>
                </c:pt>
                <c:pt idx="2">
                  <c:v>691.67</c:v>
                </c:pt>
                <c:pt idx="3">
                  <c:v>657.08666666666659</c:v>
                </c:pt>
                <c:pt idx="4">
                  <c:v>631.76990957157625</c:v>
                </c:pt>
                <c:pt idx="5">
                  <c:v>622.50333333333333</c:v>
                </c:pt>
                <c:pt idx="6">
                  <c:v>631.76990957157625</c:v>
                </c:pt>
                <c:pt idx="7">
                  <c:v>657.08666666666659</c:v>
                </c:pt>
                <c:pt idx="8">
                  <c:v>691.67</c:v>
                </c:pt>
                <c:pt idx="9">
                  <c:v>726.25333333333333</c:v>
                </c:pt>
                <c:pt idx="10">
                  <c:v>751.57009042842367</c:v>
                </c:pt>
                <c:pt idx="11">
                  <c:v>760.83666666666659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35-880B-81DE9C52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0703"/>
        <c:axId val="1891626943"/>
      </c:barChart>
      <c:catAx>
        <c:axId val="159959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891626943"/>
        <c:crosses val="autoZero"/>
        <c:auto val="1"/>
        <c:lblAlgn val="ctr"/>
        <c:lblOffset val="100"/>
        <c:noMultiLvlLbl val="0"/>
      </c:catAx>
      <c:valAx>
        <c:axId val="189162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599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Solar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 (A)'!$C$5:$C$16</c:f>
              <c:numCache>
                <c:formatCode>0</c:formatCode>
                <c:ptCount val="12"/>
                <c:pt idx="0">
                  <c:v>13212.508665947309</c:v>
                </c:pt>
                <c:pt idx="1">
                  <c:v>19988.420783894755</c:v>
                </c:pt>
                <c:pt idx="2">
                  <c:v>36330.438042651345</c:v>
                </c:pt>
                <c:pt idx="3">
                  <c:v>62537.326290685734</c:v>
                </c:pt>
                <c:pt idx="4">
                  <c:v>92840.864038482381</c:v>
                </c:pt>
                <c:pt idx="5">
                  <c:v>115697.25483760801</c:v>
                </c:pt>
                <c:pt idx="6">
                  <c:v>120301.3364943896</c:v>
                </c:pt>
                <c:pt idx="7">
                  <c:v>104169.01692184545</c:v>
                </c:pt>
                <c:pt idx="8">
                  <c:v>75044.791548822875</c:v>
                </c:pt>
                <c:pt idx="9">
                  <c:v>45413.047553314187</c:v>
                </c:pt>
                <c:pt idx="10">
                  <c:v>24466.389716211663</c:v>
                </c:pt>
                <c:pt idx="11">
                  <c:v>14392.379962285839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DD45-8873-D6955988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67999"/>
        <c:axId val="559245775"/>
      </c:barChart>
      <c:catAx>
        <c:axId val="5562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9245775"/>
        <c:crosses val="autoZero"/>
        <c:auto val="1"/>
        <c:lblAlgn val="ctr"/>
        <c:lblOffset val="100"/>
        <c:noMultiLvlLbl val="0"/>
      </c:catAx>
      <c:valAx>
        <c:axId val="5592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62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(A)'!$J$91:$J$130</c:f>
              <c:numCache>
                <c:formatCode>_("$"* #,##0.00_);_("$"* \(#,##0.00\);_("$"* "-"??_);_(@_)</c:formatCode>
                <c:ptCount val="40"/>
                <c:pt idx="0">
                  <c:v>0.44115814143534426</c:v>
                </c:pt>
                <c:pt idx="1">
                  <c:v>0.92005397800335353</c:v>
                </c:pt>
                <c:pt idx="2">
                  <c:v>1.4392845731043669</c:v>
                </c:pt>
                <c:pt idx="3">
                  <c:v>2.0016110789417412</c:v>
                </c:pt>
                <c:pt idx="4">
                  <c:v>2.6099685956527594</c:v>
                </c:pt>
                <c:pt idx="5">
                  <c:v>3.2674766028003259</c:v>
                </c:pt>
                <c:pt idx="6">
                  <c:v>3.9774499956340303</c:v>
                </c:pt>
                <c:pt idx="7">
                  <c:v>4.7434107603299074</c:v>
                </c:pt>
                <c:pt idx="8">
                  <c:v>5.569100324318069</c:v>
                </c:pt>
                <c:pt idx="9">
                  <c:v>6.458492619810638</c:v>
                </c:pt>
                <c:pt idx="10">
                  <c:v>7.4158079007560431</c:v>
                </c:pt>
                <c:pt idx="11">
                  <c:v>8.4455273556741997</c:v>
                </c:pt>
                <c:pt idx="12">
                  <c:v>9.5524085611777885</c:v>
                </c:pt>
                <c:pt idx="13">
                  <c:v>10.74150182346388</c:v>
                </c:pt>
                <c:pt idx="14">
                  <c:v>12.018167457674199</c:v>
                </c:pt>
                <c:pt idx="15">
                  <c:v>13.38809405777951</c:v>
                </c:pt>
                <c:pt idx="16">
                  <c:v>14.857317812550715</c:v>
                </c:pt>
                <c:pt idx="17">
                  <c:v>16.432242926244918</c:v>
                </c:pt>
                <c:pt idx="18">
                  <c:v>18.119663205867379</c:v>
                </c:pt>
                <c:pt idx="19">
                  <c:v>19.926784880279062</c:v>
                </c:pt>
                <c:pt idx="20">
                  <c:v>21.861250720013594</c:v>
                </c:pt>
                <c:pt idx="21">
                  <c:v>23.931165530456905</c:v>
                </c:pt>
                <c:pt idx="22">
                  <c:v>26.145123095038755</c:v>
                </c:pt>
                <c:pt idx="23">
                  <c:v>28.512234649297746</c:v>
                </c:pt>
                <c:pt idx="24">
                  <c:v>31.042158971123214</c:v>
                </c:pt>
                <c:pt idx="25">
                  <c:v>33.745134177159649</c:v>
                </c:pt>
                <c:pt idx="26">
                  <c:v>36.632011320295994</c:v>
                </c:pt>
                <c:pt idx="27">
                  <c:v>39.714289888366686</c:v>
                </c:pt>
                <c:pt idx="28">
                  <c:v>43.004155309677209</c:v>
                </c:pt>
                <c:pt idx="29">
                  <c:v>46.51451857675081</c:v>
                </c:pt>
                <c:pt idx="30">
                  <c:v>50.259058105789869</c:v>
                </c:pt>
                <c:pt idx="31">
                  <c:v>54.252263955771568</c:v>
                </c:pt>
                <c:pt idx="32">
                  <c:v>58.50948453787268</c:v>
                </c:pt>
                <c:pt idx="33">
                  <c:v>63.046975953058507</c:v>
                </c:pt>
                <c:pt idx="34">
                  <c:v>67.881954103197614</c:v>
                </c:pt>
                <c:pt idx="35">
                  <c:v>73.032649728997896</c:v>
                </c:pt>
                <c:pt idx="36">
                  <c:v>78.51836653642053</c:v>
                </c:pt>
                <c:pt idx="37">
                  <c:v>84.35954258204228</c:v>
                </c:pt>
                <c:pt idx="38">
                  <c:v>90.577815097124414</c:v>
                </c:pt>
                <c:pt idx="39">
                  <c:v>97.196088939936701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D-FF4A-9AF4-C56FA202B9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(A)'!$L$91:$L$130</c:f>
              <c:numCache>
                <c:formatCode>"$"#,##0.00_);[Red]\("$"#,##0.00\)</c:formatCode>
                <c:ptCount val="40"/>
                <c:pt idx="0">
                  <c:v>1000.0411581414354</c:v>
                </c:pt>
                <c:pt idx="1">
                  <c:v>500.47706742053288</c:v>
                </c:pt>
                <c:pt idx="2">
                  <c:v>334.12366781283657</c:v>
                </c:pt>
                <c:pt idx="3">
                  <c:v>251.08132540661947</c:v>
                </c:pt>
                <c:pt idx="4">
                  <c:v>201.3704168821742</c:v>
                </c:pt>
                <c:pt idx="5">
                  <c:v>168.33132977315168</c:v>
                </c:pt>
                <c:pt idx="6">
                  <c:v>144.8244627334816</c:v>
                </c:pt>
                <c:pt idx="7">
                  <c:v>127.2802258099899</c:v>
                </c:pt>
                <c:pt idx="8">
                  <c:v>113.71570738749952</c:v>
                </c:pt>
                <c:pt idx="9">
                  <c:v>102.94134113986868</c:v>
                </c:pt>
                <c:pt idx="10">
                  <c:v>94.200300259819088</c:v>
                </c:pt>
                <c:pt idx="11">
                  <c:v>86.988194725257586</c:v>
                </c:pt>
                <c:pt idx="12">
                  <c:v>80.95598535513578</c:v>
                </c:pt>
                <c:pt idx="13">
                  <c:v>75.854506263373494</c:v>
                </c:pt>
                <c:pt idx="14">
                  <c:v>71.50117846156634</c:v>
                </c:pt>
                <c:pt idx="15">
                  <c:v>67.759205985909617</c:v>
                </c:pt>
                <c:pt idx="16">
                  <c:v>64.524114688342777</c:v>
                </c:pt>
                <c:pt idx="17">
                  <c:v>61.714778214207222</c:v>
                </c:pt>
                <c:pt idx="18">
                  <c:v>59.267277995178439</c:v>
                </c:pt>
                <c:pt idx="19">
                  <c:v>57.130605354793907</c:v>
                </c:pt>
                <c:pt idx="20">
                  <c:v>55.263591691647846</c:v>
                </c:pt>
                <c:pt idx="21">
                  <c:v>53.632675990814342</c:v>
                </c:pt>
                <c:pt idx="22">
                  <c:v>52.210254826968907</c:v>
                </c:pt>
                <c:pt idx="23">
                  <c:v>50.973444968248408</c:v>
                </c:pt>
                <c:pt idx="24">
                  <c:v>49.903143055054962</c:v>
                </c:pt>
                <c:pt idx="25">
                  <c:v>48.98330237446563</c:v>
                </c:pt>
                <c:pt idx="26">
                  <c:v>48.200370448549023</c:v>
                </c:pt>
                <c:pt idx="27">
                  <c:v>47.542847235431587</c:v>
                </c:pt>
                <c:pt idx="28">
                  <c:v>47.000934831987365</c:v>
                </c:pt>
                <c:pt idx="29">
                  <c:v>46.566257330047314</c:v>
                </c:pt>
                <c:pt idx="30">
                  <c:v>46.231634987268194</c:v>
                </c:pt>
                <c:pt idx="31">
                  <c:v>45.990900833570471</c:v>
                </c:pt>
                <c:pt idx="32">
                  <c:v>45.838750713889468</c:v>
                </c:pt>
                <c:pt idx="33">
                  <c:v>45.770619885509873</c:v>
                </c:pt>
                <c:pt idx="34">
                  <c:v>45.782580861275299</c:v>
                </c:pt>
                <c:pt idx="35">
                  <c:v>45.871258369731081</c:v>
                </c:pt>
                <c:pt idx="36">
                  <c:v>46.033758196057164</c:v>
                </c:pt>
                <c:pt idx="37">
                  <c:v>46.267607348994588</c:v>
                </c:pt>
                <c:pt idx="38">
                  <c:v>46.570703523084113</c:v>
                </c:pt>
                <c:pt idx="39">
                  <c:v>46.941272231725222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D-FF4A-9AF4-C56FA202B988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(A)'!$N$91:$N$130</c:f>
              <c:numCache>
                <c:formatCode>"$"#,##0.00_);[Red]\("$"#,##0.00\)</c:formatCode>
                <c:ptCount val="40"/>
                <c:pt idx="0">
                  <c:v>45.770619885509873</c:v>
                </c:pt>
                <c:pt idx="1">
                  <c:v>45.770619885509873</c:v>
                </c:pt>
                <c:pt idx="2">
                  <c:v>45.770619885509873</c:v>
                </c:pt>
                <c:pt idx="3">
                  <c:v>45.770619885509873</c:v>
                </c:pt>
                <c:pt idx="4">
                  <c:v>45.770619885509873</c:v>
                </c:pt>
                <c:pt idx="5">
                  <c:v>45.770619885509873</c:v>
                </c:pt>
                <c:pt idx="6">
                  <c:v>45.770619885509873</c:v>
                </c:pt>
                <c:pt idx="7">
                  <c:v>45.770619885509873</c:v>
                </c:pt>
                <c:pt idx="8">
                  <c:v>45.770619885509873</c:v>
                </c:pt>
                <c:pt idx="9">
                  <c:v>45.770619885509873</c:v>
                </c:pt>
                <c:pt idx="10">
                  <c:v>45.770619885509873</c:v>
                </c:pt>
                <c:pt idx="11">
                  <c:v>45.770619885509873</c:v>
                </c:pt>
                <c:pt idx="12">
                  <c:v>45.770619885509873</c:v>
                </c:pt>
                <c:pt idx="13">
                  <c:v>45.770619885509873</c:v>
                </c:pt>
                <c:pt idx="14">
                  <c:v>45.770619885509873</c:v>
                </c:pt>
                <c:pt idx="15">
                  <c:v>45.770619885509873</c:v>
                </c:pt>
                <c:pt idx="16">
                  <c:v>45.770619885509873</c:v>
                </c:pt>
                <c:pt idx="17">
                  <c:v>45.770619885509873</c:v>
                </c:pt>
                <c:pt idx="18">
                  <c:v>45.770619885509873</c:v>
                </c:pt>
                <c:pt idx="19">
                  <c:v>45.770619885509873</c:v>
                </c:pt>
                <c:pt idx="20">
                  <c:v>45.770619885509873</c:v>
                </c:pt>
                <c:pt idx="21">
                  <c:v>45.770619885509873</c:v>
                </c:pt>
                <c:pt idx="22">
                  <c:v>45.770619885509873</c:v>
                </c:pt>
                <c:pt idx="23">
                  <c:v>45.770619885509873</c:v>
                </c:pt>
                <c:pt idx="24">
                  <c:v>45.770619885509873</c:v>
                </c:pt>
                <c:pt idx="25">
                  <c:v>45.770619885509873</c:v>
                </c:pt>
                <c:pt idx="26">
                  <c:v>45.770619885509873</c:v>
                </c:pt>
                <c:pt idx="27">
                  <c:v>45.770619885509873</c:v>
                </c:pt>
                <c:pt idx="28">
                  <c:v>45.770619885509873</c:v>
                </c:pt>
                <c:pt idx="29">
                  <c:v>45.770619885509873</c:v>
                </c:pt>
                <c:pt idx="30">
                  <c:v>45.770619885509873</c:v>
                </c:pt>
                <c:pt idx="31">
                  <c:v>45.770619885509873</c:v>
                </c:pt>
                <c:pt idx="32">
                  <c:v>45.770619885509873</c:v>
                </c:pt>
                <c:pt idx="33">
                  <c:v>45.770619885509873</c:v>
                </c:pt>
                <c:pt idx="34">
                  <c:v>45.770619885509873</c:v>
                </c:pt>
                <c:pt idx="35">
                  <c:v>45.770619885509873</c:v>
                </c:pt>
                <c:pt idx="36">
                  <c:v>45.770619885509873</c:v>
                </c:pt>
                <c:pt idx="37">
                  <c:v>45.770619885509873</c:v>
                </c:pt>
                <c:pt idx="38">
                  <c:v>45.770619885509873</c:v>
                </c:pt>
                <c:pt idx="39">
                  <c:v>45.770619885509873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D-FF4A-9AF4-C56FA202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01039"/>
        <c:axId val="558639343"/>
      </c:scatterChart>
      <c:valAx>
        <c:axId val="5875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343"/>
        <c:crosses val="autoZero"/>
        <c:crossBetween val="midCat"/>
      </c:valAx>
      <c:valAx>
        <c:axId val="55863934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0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(B)'!$L$91:$L$130</c:f>
              <c:numCache>
                <c:formatCode>_("$"* #,##0.00_);_("$"* \(#,##0.00\);_("$"* "-"??_);_(@_)</c:formatCode>
                <c:ptCount val="40"/>
                <c:pt idx="0">
                  <c:v>5.5144767679418027</c:v>
                </c:pt>
                <c:pt idx="1">
                  <c:v>11.500674725041918</c:v>
                </c:pt>
                <c:pt idx="2">
                  <c:v>17.991057163804584</c:v>
                </c:pt>
                <c:pt idx="3">
                  <c:v>25.020138486771764</c:v>
                </c:pt>
                <c:pt idx="4">
                  <c:v>32.624607445659485</c:v>
                </c:pt>
                <c:pt idx="5">
                  <c:v>40.84345753500407</c:v>
                </c:pt>
                <c:pt idx="6">
                  <c:v>49.718124945425373</c:v>
                </c:pt>
                <c:pt idx="7">
                  <c:v>59.292634504123832</c:v>
                </c:pt>
                <c:pt idx="8">
                  <c:v>69.613754053975853</c:v>
                </c:pt>
                <c:pt idx="9">
                  <c:v>80.731157747632963</c:v>
                </c:pt>
                <c:pt idx="10">
                  <c:v>92.697598759450514</c:v>
                </c:pt>
                <c:pt idx="11">
                  <c:v>105.56909194592748</c:v>
                </c:pt>
                <c:pt idx="12">
                  <c:v>119.40510701472236</c:v>
                </c:pt>
                <c:pt idx="13">
                  <c:v>134.26877279329847</c:v>
                </c:pt>
                <c:pt idx="14">
                  <c:v>150.22709322092746</c:v>
                </c:pt>
                <c:pt idx="15">
                  <c:v>167.35117572224385</c:v>
                </c:pt>
                <c:pt idx="16">
                  <c:v>185.71647265688392</c:v>
                </c:pt>
                <c:pt idx="17">
                  <c:v>205.40303657806143</c:v>
                </c:pt>
                <c:pt idx="18">
                  <c:v>226.49579007334222</c:v>
                </c:pt>
                <c:pt idx="19">
                  <c:v>249.0848110034882</c:v>
                </c:pt>
                <c:pt idx="20">
                  <c:v>273.26563400016988</c:v>
                </c:pt>
                <c:pt idx="21">
                  <c:v>299.13956913071127</c:v>
                </c:pt>
                <c:pt idx="22">
                  <c:v>326.81403868798441</c:v>
                </c:pt>
                <c:pt idx="23">
                  <c:v>356.40293311622179</c:v>
                </c:pt>
                <c:pt idx="24">
                  <c:v>388.02698713904016</c:v>
                </c:pt>
                <c:pt idx="25">
                  <c:v>421.81417721449554</c:v>
                </c:pt>
                <c:pt idx="26">
                  <c:v>457.9001415036999</c:v>
                </c:pt>
                <c:pt idx="27">
                  <c:v>496.42862360458355</c:v>
                </c:pt>
                <c:pt idx="28">
                  <c:v>537.5519413709651</c:v>
                </c:pt>
                <c:pt idx="29">
                  <c:v>581.43148220938508</c:v>
                </c:pt>
                <c:pt idx="30">
                  <c:v>628.23822632237329</c:v>
                </c:pt>
                <c:pt idx="31">
                  <c:v>678.15329944714438</c:v>
                </c:pt>
                <c:pt idx="32">
                  <c:v>731.36855672340835</c:v>
                </c:pt>
                <c:pt idx="33">
                  <c:v>788.08719941323113</c:v>
                </c:pt>
                <c:pt idx="34">
                  <c:v>848.52442628997017</c:v>
                </c:pt>
                <c:pt idx="35">
                  <c:v>912.90812161247356</c:v>
                </c:pt>
                <c:pt idx="36">
                  <c:v>981.47958170525646</c:v>
                </c:pt>
                <c:pt idx="37">
                  <c:v>1054.4942822755283</c:v>
                </c:pt>
                <c:pt idx="38">
                  <c:v>1132.222688714055</c:v>
                </c:pt>
                <c:pt idx="39">
                  <c:v>1214.9511117492084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D-8E43-BAD4-E576B12E8C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(B)'!$N$91:$N$130</c:f>
              <c:numCache>
                <c:formatCode>"$"#,##0.00_);[Red]\("$"#,##0.00\)</c:formatCode>
                <c:ptCount val="40"/>
                <c:pt idx="0">
                  <c:v>6566.1588561827748</c:v>
                </c:pt>
                <c:pt idx="1">
                  <c:v>3329.1992248908632</c:v>
                </c:pt>
                <c:pt idx="2">
                  <c:v>2262.7547286325471</c:v>
                </c:pt>
                <c:pt idx="3">
                  <c:v>1737.7168064776042</c:v>
                </c:pt>
                <c:pt idx="4">
                  <c:v>1428.3663454604757</c:v>
                </c:pt>
                <c:pt idx="5">
                  <c:v>1226.2077795613675</c:v>
                </c:pt>
                <c:pt idx="6">
                  <c:v>1084.8031343106063</c:v>
                </c:pt>
                <c:pt idx="7">
                  <c:v>980.98102081006971</c:v>
                </c:pt>
                <c:pt idx="8">
                  <c:v>901.90669381593489</c:v>
                </c:pt>
                <c:pt idx="9">
                  <c:v>839.91039939509096</c:v>
                </c:pt>
                <c:pt idx="10">
                  <c:v>790.136894006685</c:v>
                </c:pt>
                <c:pt idx="11">
                  <c:v>749.37043079056502</c:v>
                </c:pt>
                <c:pt idx="12">
                  <c:v>715.40225146033663</c:v>
                </c:pt>
                <c:pt idx="13">
                  <c:v>686.66931587706119</c:v>
                </c:pt>
                <c:pt idx="14">
                  <c:v>662.03767875339645</c:v>
                </c:pt>
                <c:pt idx="15">
                  <c:v>640.66721920452721</c:v>
                </c:pt>
                <c:pt idx="16">
                  <c:v>621.92421526716203</c:v>
                </c:pt>
                <c:pt idx="17">
                  <c:v>605.3231486462754</c:v>
                </c:pt>
                <c:pt idx="18">
                  <c:v>590.48696338713</c:v>
                </c:pt>
                <c:pt idx="19">
                  <c:v>577.11931326178455</c:v>
                </c:pt>
                <c:pt idx="20">
                  <c:v>564.98479609703668</c:v>
                </c:pt>
                <c:pt idx="21">
                  <c:v>553.89462890043842</c:v>
                </c:pt>
                <c:pt idx="22">
                  <c:v>543.6961036428911</c:v>
                </c:pt>
                <c:pt idx="23">
                  <c:v>534.26471727778085</c:v>
                </c:pt>
                <c:pt idx="24">
                  <c:v>525.4982239320459</c:v>
                </c:pt>
                <c:pt idx="25">
                  <c:v>517.31208887516959</c:v>
                </c:pt>
                <c:pt idx="26">
                  <c:v>509.63597829845241</c:v>
                </c:pt>
                <c:pt idx="27">
                  <c:v>502.41102370781408</c:v>
                </c:pt>
                <c:pt idx="28">
                  <c:v>495.58767197278354</c:v>
                </c:pt>
                <c:pt idx="29">
                  <c:v>489.1239826273204</c:v>
                </c:pt>
                <c:pt idx="30">
                  <c:v>482.98426988141057</c:v>
                </c:pt>
                <c:pt idx="31">
                  <c:v>477.13801256750645</c:v>
                </c:pt>
                <c:pt idx="32">
                  <c:v>471.55897397379044</c:v>
                </c:pt>
                <c:pt idx="33">
                  <c:v>466.22448727748474</c:v>
                </c:pt>
                <c:pt idx="34">
                  <c:v>461.11487250578813</c:v>
                </c:pt>
                <c:pt idx="35">
                  <c:v>456.21295860536577</c:v>
                </c:pt>
                <c:pt idx="36">
                  <c:v>451.5036899864017</c:v>
                </c:pt>
                <c:pt idx="37">
                  <c:v>446.97380131621196</c:v>
                </c:pt>
                <c:pt idx="38">
                  <c:v>442.61154772361056</c:v>
                </c:pt>
                <c:pt idx="39">
                  <c:v>438.40648019475157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D-8E43-BAD4-E576B12E8C82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(B)'!$O$91:$O$130</c:f>
              <c:numCache>
                <c:formatCode>"$"#,##0.00_);[Red]\("$"#,##0.00\)</c:formatCode>
                <c:ptCount val="40"/>
                <c:pt idx="0">
                  <c:v>438.40648019475157</c:v>
                </c:pt>
                <c:pt idx="1">
                  <c:v>438.40648019475157</c:v>
                </c:pt>
                <c:pt idx="2">
                  <c:v>438.40648019475157</c:v>
                </c:pt>
                <c:pt idx="3">
                  <c:v>438.40648019475157</c:v>
                </c:pt>
                <c:pt idx="4">
                  <c:v>438.40648019475157</c:v>
                </c:pt>
                <c:pt idx="5">
                  <c:v>438.40648019475157</c:v>
                </c:pt>
                <c:pt idx="6">
                  <c:v>438.40648019475157</c:v>
                </c:pt>
                <c:pt idx="7">
                  <c:v>438.40648019475157</c:v>
                </c:pt>
                <c:pt idx="8">
                  <c:v>438.40648019475157</c:v>
                </c:pt>
                <c:pt idx="9">
                  <c:v>438.40648019475157</c:v>
                </c:pt>
                <c:pt idx="10">
                  <c:v>438.40648019475157</c:v>
                </c:pt>
                <c:pt idx="11">
                  <c:v>438.40648019475157</c:v>
                </c:pt>
                <c:pt idx="12">
                  <c:v>438.40648019475157</c:v>
                </c:pt>
                <c:pt idx="13">
                  <c:v>438.40648019475157</c:v>
                </c:pt>
                <c:pt idx="14">
                  <c:v>438.40648019475157</c:v>
                </c:pt>
                <c:pt idx="15">
                  <c:v>438.40648019475157</c:v>
                </c:pt>
                <c:pt idx="16">
                  <c:v>438.40648019475157</c:v>
                </c:pt>
                <c:pt idx="17">
                  <c:v>438.40648019475157</c:v>
                </c:pt>
                <c:pt idx="18">
                  <c:v>438.40648019475157</c:v>
                </c:pt>
                <c:pt idx="19">
                  <c:v>438.40648019475157</c:v>
                </c:pt>
                <c:pt idx="20">
                  <c:v>438.40648019475157</c:v>
                </c:pt>
                <c:pt idx="21">
                  <c:v>438.40648019475157</c:v>
                </c:pt>
                <c:pt idx="22">
                  <c:v>438.40648019475157</c:v>
                </c:pt>
                <c:pt idx="23">
                  <c:v>438.40648019475157</c:v>
                </c:pt>
                <c:pt idx="24">
                  <c:v>438.40648019475157</c:v>
                </c:pt>
                <c:pt idx="25">
                  <c:v>438.40648019475157</c:v>
                </c:pt>
                <c:pt idx="26">
                  <c:v>438.40648019475157</c:v>
                </c:pt>
                <c:pt idx="27">
                  <c:v>438.40648019475157</c:v>
                </c:pt>
                <c:pt idx="28">
                  <c:v>438.40648019475157</c:v>
                </c:pt>
                <c:pt idx="29">
                  <c:v>438.40648019475157</c:v>
                </c:pt>
                <c:pt idx="30">
                  <c:v>438.40648019475157</c:v>
                </c:pt>
                <c:pt idx="31">
                  <c:v>438.40648019475157</c:v>
                </c:pt>
                <c:pt idx="32">
                  <c:v>438.40648019475157</c:v>
                </c:pt>
                <c:pt idx="33">
                  <c:v>438.40648019475157</c:v>
                </c:pt>
                <c:pt idx="34">
                  <c:v>438.40648019475157</c:v>
                </c:pt>
                <c:pt idx="35">
                  <c:v>438.40648019475157</c:v>
                </c:pt>
                <c:pt idx="36">
                  <c:v>438.40648019475157</c:v>
                </c:pt>
                <c:pt idx="37">
                  <c:v>438.40648019475157</c:v>
                </c:pt>
                <c:pt idx="38">
                  <c:v>438.40648019475157</c:v>
                </c:pt>
                <c:pt idx="39">
                  <c:v>438.40648019475157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FD-8E43-BAD4-E576B12E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72319"/>
        <c:axId val="560126847"/>
      </c:scatterChart>
      <c:valAx>
        <c:axId val="5954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60126847"/>
        <c:crosses val="autoZero"/>
        <c:crossBetween val="midCat"/>
      </c:valAx>
      <c:valAx>
        <c:axId val="560126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547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491519</xdr:colOff>
      <xdr:row>9</xdr:row>
      <xdr:rowOff>97142</xdr:rowOff>
    </xdr:from>
    <xdr:to>
      <xdr:col>26</xdr:col>
      <xdr:colOff>381000</xdr:colOff>
      <xdr:row>23</xdr:row>
      <xdr:rowOff>125838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A1DA0-E5B1-C04E-A62F-A6D320C7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181289</xdr:colOff>
      <xdr:row>39</xdr:row>
      <xdr:rowOff>38973</xdr:rowOff>
    </xdr:from>
    <xdr:to>
      <xdr:col>8</xdr:col>
      <xdr:colOff>322831</xdr:colOff>
      <xdr:row>53</xdr:row>
      <xdr:rowOff>67669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0FAD-2816-3743-9EA2-EA7FDF37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118274</xdr:colOff>
      <xdr:row>38</xdr:row>
      <xdr:rowOff>145614</xdr:rowOff>
    </xdr:from>
    <xdr:to>
      <xdr:col>17</xdr:col>
      <xdr:colOff>230732</xdr:colOff>
      <xdr:row>52</xdr:row>
      <xdr:rowOff>174310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D0180-A298-AC41-9B54-3E8C18C6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163028</xdr:colOff>
      <xdr:row>4</xdr:row>
      <xdr:rowOff>161925</xdr:rowOff>
    </xdr:from>
    <xdr:to>
      <xdr:col>17</xdr:col>
      <xdr:colOff>53699</xdr:colOff>
      <xdr:row>18</xdr:row>
      <xdr:rowOff>31061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7B8-7100-4414-B7CC-BDC7E20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82827</xdr:colOff>
      <xdr:row>4</xdr:row>
      <xdr:rowOff>165651</xdr:rowOff>
    </xdr:from>
    <xdr:to>
      <xdr:col>24</xdr:col>
      <xdr:colOff>561562</xdr:colOff>
      <xdr:row>18</xdr:row>
      <xdr:rowOff>34787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A5D43-F979-4657-AB5B-CA31FF17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197557</xdr:colOff>
      <xdr:row>1</xdr:row>
      <xdr:rowOff>34572</xdr:rowOff>
    </xdr:from>
    <xdr:to>
      <xdr:col>11</xdr:col>
      <xdr:colOff>411341</xdr:colOff>
      <xdr:row>15</xdr:row>
      <xdr:rowOff>110772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713-7F4D-48FC-948A-C891979F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205802</xdr:colOff>
      <xdr:row>7</xdr:row>
      <xdr:rowOff>139700</xdr:rowOff>
    </xdr:from>
    <xdr:to>
      <xdr:col>28</xdr:col>
      <xdr:colOff>6274</xdr:colOff>
      <xdr:row>11</xdr:row>
      <xdr:rowOff>102213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A9FD0-1C97-A740-963A-D50AEF74164F}"/>
            </a:ext>
          </a:extLst>
        </xdr:cNvPr>
        <xdr:cNvSpPr/>
      </xdr:nvSpPr>
      <xdr:spPr>
        <a:xfrm>
          <a:off x="18633502" y="1473200"/>
          <a:ext cx="2327772" cy="7245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Treating the money saved (compared to doing</a:t>
          </a:r>
          <a:r>
            <a:rPr lang="en-U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nothing) as income (relative benefit)</a:t>
          </a:r>
          <a:endParaRPr lang="en-U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0</xdr:col>
      <xdr:colOff>663363</xdr:colOff>
      <xdr:row>17</xdr:row>
      <xdr:rowOff>145203</xdr:rowOff>
    </xdr:from>
    <xdr:to>
      <xdr:col>4</xdr:col>
      <xdr:colOff>518583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6C6F7-FB2A-AC4D-A159-7FB2989D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88</xdr:row>
      <xdr:rowOff>88900</xdr:rowOff>
    </xdr:from>
    <xdr:to>
      <xdr:col>23</xdr:col>
      <xdr:colOff>647700</xdr:colOff>
      <xdr:row>117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E9533-DE66-6140-AB70-05B099A7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85</xdr:row>
      <xdr:rowOff>72572</xdr:rowOff>
    </xdr:from>
    <xdr:to>
      <xdr:col>21</xdr:col>
      <xdr:colOff>1514</xdr:colOff>
      <xdr:row>107</xdr:row>
      <xdr:rowOff>125490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DEFB2-4C93-D84F-B37B-917D32E3C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108855</xdr:colOff>
      <xdr:row>85</xdr:row>
      <xdr:rowOff>154214</xdr:rowOff>
    </xdr:from>
    <xdr:to>
      <xdr:col>28</xdr:col>
      <xdr:colOff>1034141</xdr:colOff>
      <xdr:row>108</xdr:row>
      <xdr:rowOff>3024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9ABD9-C6CC-417F-BCDF-8012CCC35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sheetPr>
    <tabColor rgb="FF0070C0"/>
  </sheetPr>
  <dimension ref="C2:V63"/>
  <sheetViews>
    <sheetView showGridLines="0" tabSelected="1" topLeftCell="A55" zoomScale="131" workbookViewId="0">
      <selection activeCell="I14" sqref="I14"/>
    </sheetView>
  </sheetViews>
  <sheetFormatPr defaultColWidth="8.85546875" defaultRowHeight="15" x14ac:dyDescent="0.25"/>
  <cols>
    <col min="2" max="2" width="7.7109375" bestFit="1" customWidth="1"/>
    <col min="3" max="3" width="22.85546875" bestFit="1" customWidth="1"/>
    <col min="4" max="4" width="8.7109375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42578125" bestFit="1" customWidth="1"/>
    <col min="14" max="14" width="21.140625" bestFit="1" customWidth="1"/>
    <col min="15" max="15" width="12.140625" bestFit="1" customWidth="1"/>
    <col min="16" max="16" width="11.140625" bestFit="1" customWidth="1"/>
    <col min="17" max="17" width="13.7109375" bestFit="1" customWidth="1"/>
    <col min="18" max="18" width="12.140625" bestFit="1" customWidth="1"/>
    <col min="19" max="19" width="11.85546875" bestFit="1" customWidth="1"/>
  </cols>
  <sheetData>
    <row r="2" spans="3:16" x14ac:dyDescent="0.25">
      <c r="C2" s="1" t="s">
        <v>2</v>
      </c>
    </row>
    <row r="3" spans="3:16" x14ac:dyDescent="0.25">
      <c r="C3" s="1" t="s">
        <v>0</v>
      </c>
      <c r="D3">
        <v>22.7</v>
      </c>
      <c r="E3" t="s">
        <v>1</v>
      </c>
    </row>
    <row r="4" spans="3:16" x14ac:dyDescent="0.25">
      <c r="C4" s="1" t="s">
        <v>27</v>
      </c>
      <c r="D4">
        <v>10</v>
      </c>
      <c r="E4" t="s">
        <v>28</v>
      </c>
      <c r="M4" s="54" t="s">
        <v>10</v>
      </c>
      <c r="N4" s="36"/>
    </row>
    <row r="5" spans="3:16" x14ac:dyDescent="0.25">
      <c r="C5" s="1" t="s">
        <v>121</v>
      </c>
      <c r="D5">
        <v>35</v>
      </c>
      <c r="E5" t="s">
        <v>52</v>
      </c>
      <c r="M5" s="23" t="s">
        <v>11</v>
      </c>
      <c r="N5" s="46" t="s">
        <v>12</v>
      </c>
    </row>
    <row r="6" spans="3:16" x14ac:dyDescent="0.25">
      <c r="M6" s="23">
        <v>90</v>
      </c>
      <c r="N6" s="156">
        <v>0</v>
      </c>
    </row>
    <row r="7" spans="3:16" x14ac:dyDescent="0.25">
      <c r="C7" t="s">
        <v>21</v>
      </c>
      <c r="M7" s="23">
        <v>53</v>
      </c>
      <c r="N7" s="156">
        <v>8.0000000000000002E-3</v>
      </c>
    </row>
    <row r="8" spans="3:16" x14ac:dyDescent="0.25">
      <c r="M8" s="23">
        <v>45</v>
      </c>
      <c r="N8" s="156">
        <v>1.7000000000000001E-2</v>
      </c>
    </row>
    <row r="9" spans="3:16" x14ac:dyDescent="0.25">
      <c r="C9" t="s">
        <v>42</v>
      </c>
      <c r="D9">
        <v>12</v>
      </c>
      <c r="E9" t="s">
        <v>43</v>
      </c>
      <c r="M9" s="23">
        <v>35</v>
      </c>
      <c r="N9" s="156">
        <v>0.03</v>
      </c>
    </row>
    <row r="10" spans="3:16" x14ac:dyDescent="0.25">
      <c r="M10" s="23">
        <v>27</v>
      </c>
      <c r="N10" s="156">
        <v>0.04</v>
      </c>
    </row>
    <row r="11" spans="3:16" x14ac:dyDescent="0.25">
      <c r="C11" t="s">
        <v>154</v>
      </c>
      <c r="D11" s="5">
        <v>5.0000000000000001E-3</v>
      </c>
      <c r="E11" t="s">
        <v>89</v>
      </c>
      <c r="M11" s="23">
        <v>18</v>
      </c>
      <c r="N11" s="156">
        <v>4.7E-2</v>
      </c>
    </row>
    <row r="12" spans="3:16" x14ac:dyDescent="0.25">
      <c r="C12" t="s">
        <v>155</v>
      </c>
      <c r="D12" s="5">
        <v>5.0000000000000001E-4</v>
      </c>
      <c r="E12" t="s">
        <v>89</v>
      </c>
      <c r="F12" t="s">
        <v>44</v>
      </c>
      <c r="M12" s="50">
        <v>14</v>
      </c>
      <c r="N12" s="157">
        <v>4.4999999999999998E-2</v>
      </c>
    </row>
    <row r="13" spans="3:16" x14ac:dyDescent="0.25">
      <c r="D13">
        <v>400</v>
      </c>
      <c r="E13" t="s">
        <v>156</v>
      </c>
    </row>
    <row r="14" spans="3:16" x14ac:dyDescent="0.25">
      <c r="M14" t="s">
        <v>13</v>
      </c>
    </row>
    <row r="15" spans="3:16" x14ac:dyDescent="0.25">
      <c r="M15" t="s">
        <v>14</v>
      </c>
      <c r="N15" t="s">
        <v>12</v>
      </c>
    </row>
    <row r="16" spans="3:16" x14ac:dyDescent="0.25">
      <c r="M16" t="s">
        <v>15</v>
      </c>
      <c r="N16" s="3">
        <v>0.02</v>
      </c>
      <c r="P16" t="s">
        <v>18</v>
      </c>
    </row>
    <row r="17" spans="3:22" x14ac:dyDescent="0.25">
      <c r="M17" t="s">
        <v>16</v>
      </c>
      <c r="N17" s="3">
        <v>0.05</v>
      </c>
      <c r="P17" t="s">
        <v>19</v>
      </c>
    </row>
    <row r="18" spans="3:22" x14ac:dyDescent="0.25">
      <c r="M18" t="s">
        <v>17</v>
      </c>
      <c r="N18" s="3">
        <v>0.1</v>
      </c>
    </row>
    <row r="19" spans="3:22" x14ac:dyDescent="0.25">
      <c r="C19" t="s">
        <v>221</v>
      </c>
      <c r="D19" s="3">
        <v>0.03</v>
      </c>
      <c r="E19" t="s">
        <v>222</v>
      </c>
      <c r="M19" t="s">
        <v>20</v>
      </c>
      <c r="N19" s="2">
        <v>10</v>
      </c>
      <c r="O19" t="s">
        <v>9</v>
      </c>
    </row>
    <row r="20" spans="3:22" x14ac:dyDescent="0.25">
      <c r="C20" t="s">
        <v>63</v>
      </c>
      <c r="D20" s="4">
        <v>0.02</v>
      </c>
    </row>
    <row r="21" spans="3:22" x14ac:dyDescent="0.25">
      <c r="C21" t="s">
        <v>189</v>
      </c>
      <c r="D21" s="4">
        <v>0.03</v>
      </c>
    </row>
    <row r="22" spans="3:22" x14ac:dyDescent="0.25">
      <c r="D22" t="s">
        <v>57</v>
      </c>
      <c r="M22" s="54" t="s">
        <v>73</v>
      </c>
      <c r="N22" s="36"/>
      <c r="S22" s="2">
        <v>10000</v>
      </c>
      <c r="T22" t="s">
        <v>79</v>
      </c>
      <c r="U22" s="9">
        <f>(S23-S22)/2</f>
        <v>3000</v>
      </c>
      <c r="V22" t="s">
        <v>81</v>
      </c>
    </row>
    <row r="23" spans="3:22" x14ac:dyDescent="0.25">
      <c r="C23" t="s">
        <v>135</v>
      </c>
      <c r="D23" s="3">
        <v>0.1</v>
      </c>
      <c r="E23" t="s">
        <v>137</v>
      </c>
      <c r="F23" t="s">
        <v>138</v>
      </c>
      <c r="M23" s="23" t="s">
        <v>26</v>
      </c>
      <c r="N23" s="46"/>
      <c r="S23" s="2">
        <v>16000</v>
      </c>
      <c r="T23" t="s">
        <v>80</v>
      </c>
    </row>
    <row r="24" spans="3:22" x14ac:dyDescent="0.25">
      <c r="C24" t="s">
        <v>136</v>
      </c>
      <c r="D24" s="3">
        <v>0.05</v>
      </c>
      <c r="M24" s="23" t="s">
        <v>74</v>
      </c>
      <c r="N24" s="29">
        <v>0.35</v>
      </c>
      <c r="S24" s="2">
        <v>46000</v>
      </c>
      <c r="T24" t="s">
        <v>82</v>
      </c>
    </row>
    <row r="25" spans="3:22" x14ac:dyDescent="0.25">
      <c r="M25" s="23" t="s">
        <v>75</v>
      </c>
      <c r="N25" s="29">
        <v>0.2</v>
      </c>
    </row>
    <row r="26" spans="3:22" x14ac:dyDescent="0.25">
      <c r="C26" t="s">
        <v>140</v>
      </c>
      <c r="D26" s="9">
        <v>24</v>
      </c>
      <c r="E26" t="s">
        <v>141</v>
      </c>
      <c r="F26" t="s">
        <v>142</v>
      </c>
      <c r="M26" s="23" t="s">
        <v>76</v>
      </c>
      <c r="N26" s="29">
        <v>0.23</v>
      </c>
    </row>
    <row r="27" spans="3:22" x14ac:dyDescent="0.25">
      <c r="F27" t="s">
        <v>143</v>
      </c>
      <c r="M27" s="23" t="s">
        <v>77</v>
      </c>
      <c r="N27" s="29">
        <v>0.04</v>
      </c>
      <c r="O27" s="3"/>
    </row>
    <row r="28" spans="3:22" x14ac:dyDescent="0.25">
      <c r="M28" s="23" t="s">
        <v>78</v>
      </c>
      <c r="N28" s="29">
        <v>0.02</v>
      </c>
    </row>
    <row r="29" spans="3:22" x14ac:dyDescent="0.25">
      <c r="M29" s="50" t="s">
        <v>220</v>
      </c>
      <c r="N29" s="30">
        <v>0.16</v>
      </c>
    </row>
    <row r="30" spans="3:22" ht="15.75" thickBot="1" x14ac:dyDescent="0.3"/>
    <row r="31" spans="3:22" x14ac:dyDescent="0.25">
      <c r="C31" s="73" t="s">
        <v>204</v>
      </c>
      <c r="D31" s="74" t="s">
        <v>205</v>
      </c>
      <c r="E31" s="74" t="s">
        <v>237</v>
      </c>
      <c r="F31" s="74"/>
      <c r="G31" s="74"/>
      <c r="H31" s="74"/>
      <c r="I31" s="75"/>
      <c r="L31" s="73" t="s">
        <v>209</v>
      </c>
      <c r="M31" s="74"/>
      <c r="N31" s="74"/>
      <c r="O31" s="74"/>
      <c r="P31" s="74"/>
      <c r="Q31" s="74"/>
      <c r="R31" s="74"/>
      <c r="S31" s="75"/>
    </row>
    <row r="32" spans="3:22" x14ac:dyDescent="0.25">
      <c r="C32" s="76" t="s">
        <v>206</v>
      </c>
      <c r="D32" s="69" t="s">
        <v>6</v>
      </c>
      <c r="E32" s="69" t="s">
        <v>208</v>
      </c>
      <c r="F32" s="56"/>
      <c r="G32" s="56"/>
      <c r="H32" s="56"/>
      <c r="I32" s="77"/>
      <c r="L32" s="76" t="s">
        <v>206</v>
      </c>
      <c r="M32" s="69" t="s">
        <v>6</v>
      </c>
      <c r="N32" s="69" t="s">
        <v>252</v>
      </c>
      <c r="O32" s="56" t="s">
        <v>6</v>
      </c>
      <c r="P32" s="56"/>
      <c r="Q32" s="56" t="s">
        <v>210</v>
      </c>
      <c r="R32" s="56">
        <v>5</v>
      </c>
      <c r="S32" s="77" t="s">
        <v>211</v>
      </c>
    </row>
    <row r="33" spans="3:19" x14ac:dyDescent="0.25">
      <c r="C33" s="76" t="s">
        <v>117</v>
      </c>
      <c r="D33" s="69" t="s">
        <v>207</v>
      </c>
      <c r="E33" s="69" t="s">
        <v>207</v>
      </c>
      <c r="F33" s="56"/>
      <c r="G33" s="56"/>
      <c r="H33" s="56"/>
      <c r="I33" s="77"/>
      <c r="L33" s="76" t="s">
        <v>117</v>
      </c>
      <c r="M33" s="69" t="s">
        <v>207</v>
      </c>
      <c r="N33" s="69" t="s">
        <v>207</v>
      </c>
      <c r="O33" s="56" t="s">
        <v>59</v>
      </c>
      <c r="P33" s="56"/>
      <c r="Q33" s="82" t="s">
        <v>214</v>
      </c>
      <c r="R33" s="24">
        <f>4120</f>
        <v>4120</v>
      </c>
      <c r="S33" s="77"/>
    </row>
    <row r="34" spans="3:19" x14ac:dyDescent="0.25">
      <c r="C34" s="78">
        <v>1</v>
      </c>
      <c r="D34" s="56"/>
      <c r="E34" s="48">
        <f>1.5/(C34+0.5)*4+1.8</f>
        <v>5.8</v>
      </c>
      <c r="F34" s="56"/>
      <c r="G34" s="56"/>
      <c r="H34" s="56"/>
      <c r="I34" s="77"/>
      <c r="L34" s="78">
        <v>2</v>
      </c>
      <c r="M34" s="24">
        <v>4</v>
      </c>
      <c r="N34" s="24">
        <v>0.75</v>
      </c>
      <c r="O34" s="71">
        <f>(M34+N34)*L34*1000</f>
        <v>9500</v>
      </c>
      <c r="P34" s="56"/>
      <c r="Q34" s="82" t="s">
        <v>213</v>
      </c>
      <c r="R34" s="24">
        <v>2900</v>
      </c>
      <c r="S34" s="77" t="s">
        <v>215</v>
      </c>
    </row>
    <row r="35" spans="3:19" x14ac:dyDescent="0.25">
      <c r="C35" s="78">
        <v>2</v>
      </c>
      <c r="D35" s="24">
        <v>4</v>
      </c>
      <c r="E35" s="48">
        <f t="shared" ref="E35:E39" si="0">1.5/(C35+0.5)*4+1.8</f>
        <v>4.2</v>
      </c>
      <c r="F35" s="56"/>
      <c r="G35" s="56"/>
      <c r="H35" s="56"/>
      <c r="I35" s="77"/>
      <c r="L35" s="78">
        <v>4</v>
      </c>
      <c r="M35" s="24">
        <v>3.25</v>
      </c>
      <c r="N35" s="24">
        <v>0.75</v>
      </c>
      <c r="O35" s="71">
        <f t="shared" ref="O35:O38" si="1">(M35+N35)*L35*1000</f>
        <v>16000</v>
      </c>
      <c r="P35" s="56"/>
      <c r="Q35" s="82"/>
      <c r="R35" s="71">
        <f>R34*R32</f>
        <v>14500</v>
      </c>
      <c r="S35" s="77"/>
    </row>
    <row r="36" spans="3:19" x14ac:dyDescent="0.25">
      <c r="C36" s="78">
        <v>4</v>
      </c>
      <c r="D36" s="24">
        <v>3.25</v>
      </c>
      <c r="E36" s="48">
        <f t="shared" si="0"/>
        <v>3.1333333333333333</v>
      </c>
      <c r="F36" s="56"/>
      <c r="G36" s="56"/>
      <c r="H36" s="56"/>
      <c r="I36" s="77"/>
      <c r="L36" s="78">
        <v>6</v>
      </c>
      <c r="M36" s="24">
        <v>2.85</v>
      </c>
      <c r="N36" s="24">
        <v>0.75</v>
      </c>
      <c r="O36" s="71">
        <f t="shared" si="1"/>
        <v>21600</v>
      </c>
      <c r="P36" s="56"/>
      <c r="Q36" s="82" t="s">
        <v>87</v>
      </c>
      <c r="R36" s="71">
        <f>R35+R33</f>
        <v>18620</v>
      </c>
      <c r="S36" s="77"/>
    </row>
    <row r="37" spans="3:19" x14ac:dyDescent="0.25">
      <c r="C37" s="78">
        <v>6</v>
      </c>
      <c r="D37" s="24">
        <v>2.85</v>
      </c>
      <c r="E37" s="48">
        <f t="shared" si="0"/>
        <v>2.7230769230769232</v>
      </c>
      <c r="F37" s="56"/>
      <c r="G37" s="56"/>
      <c r="H37" s="56"/>
      <c r="I37" s="77"/>
      <c r="L37" s="78">
        <v>8</v>
      </c>
      <c r="M37" s="24">
        <v>2.75</v>
      </c>
      <c r="N37" s="24">
        <v>0.75</v>
      </c>
      <c r="O37" s="71">
        <f t="shared" si="1"/>
        <v>28000</v>
      </c>
      <c r="P37" s="56"/>
      <c r="Q37" s="72"/>
      <c r="R37" s="56"/>
      <c r="S37" s="77"/>
    </row>
    <row r="38" spans="3:19" x14ac:dyDescent="0.25">
      <c r="C38" s="78">
        <v>8</v>
      </c>
      <c r="D38" s="24">
        <v>2.75</v>
      </c>
      <c r="E38" s="48">
        <f t="shared" si="0"/>
        <v>2.5058823529411764</v>
      </c>
      <c r="F38" s="56"/>
      <c r="G38" s="56"/>
      <c r="H38" s="56"/>
      <c r="I38" s="77"/>
      <c r="L38" s="78">
        <v>10</v>
      </c>
      <c r="M38" s="24">
        <v>2.5</v>
      </c>
      <c r="N38" s="24">
        <v>0.75</v>
      </c>
      <c r="O38" s="71">
        <f t="shared" si="1"/>
        <v>32500</v>
      </c>
      <c r="P38" s="56"/>
      <c r="Q38" s="56"/>
      <c r="R38" s="56"/>
      <c r="S38" s="77"/>
    </row>
    <row r="39" spans="3:19" x14ac:dyDescent="0.25">
      <c r="C39" s="78">
        <v>10</v>
      </c>
      <c r="D39" s="24">
        <v>2.5</v>
      </c>
      <c r="E39" s="48">
        <f t="shared" si="0"/>
        <v>2.3714285714285714</v>
      </c>
      <c r="F39" s="56"/>
      <c r="G39" s="56"/>
      <c r="H39" s="56"/>
      <c r="I39" s="77"/>
      <c r="L39" s="78"/>
      <c r="M39" s="56"/>
      <c r="N39" s="56"/>
      <c r="O39" s="56"/>
      <c r="P39" s="56"/>
      <c r="Q39" s="56"/>
      <c r="R39" s="56"/>
      <c r="S39" s="77"/>
    </row>
    <row r="40" spans="3:19" x14ac:dyDescent="0.25">
      <c r="C40" s="78"/>
      <c r="D40" s="56"/>
      <c r="E40" s="48"/>
      <c r="F40" s="56"/>
      <c r="G40" s="56"/>
      <c r="H40" s="56"/>
      <c r="I40" s="77"/>
      <c r="L40" s="78"/>
      <c r="M40" s="56"/>
      <c r="N40" s="56"/>
      <c r="O40" s="56"/>
      <c r="P40" s="56"/>
      <c r="Q40" s="56"/>
      <c r="R40" s="56"/>
      <c r="S40" s="77"/>
    </row>
    <row r="41" spans="3:19" x14ac:dyDescent="0.25">
      <c r="C41" s="78"/>
      <c r="D41" s="56"/>
      <c r="E41" s="56"/>
      <c r="F41" s="56"/>
      <c r="G41" s="56"/>
      <c r="H41" s="56"/>
      <c r="I41" s="77"/>
      <c r="L41" s="78"/>
      <c r="M41" s="56"/>
      <c r="N41" s="56"/>
      <c r="O41" s="56"/>
      <c r="P41" s="56"/>
      <c r="Q41" s="56"/>
      <c r="R41" s="56"/>
      <c r="S41" s="77"/>
    </row>
    <row r="42" spans="3:19" x14ac:dyDescent="0.25">
      <c r="C42" s="78"/>
      <c r="D42" s="56"/>
      <c r="E42" s="56"/>
      <c r="F42" s="56"/>
      <c r="G42" s="56"/>
      <c r="H42" s="56"/>
      <c r="I42" s="77"/>
      <c r="L42" s="78"/>
      <c r="M42" s="56"/>
      <c r="N42" s="56"/>
      <c r="O42" s="56"/>
      <c r="P42" s="56"/>
      <c r="Q42" s="56"/>
      <c r="R42" s="56"/>
      <c r="S42" s="77"/>
    </row>
    <row r="43" spans="3:19" x14ac:dyDescent="0.25">
      <c r="C43" s="78"/>
      <c r="D43" s="56"/>
      <c r="E43" s="56"/>
      <c r="F43" s="56"/>
      <c r="G43" s="56"/>
      <c r="H43" s="56"/>
      <c r="I43" s="77"/>
      <c r="L43" s="78"/>
      <c r="M43" s="56"/>
      <c r="N43" s="56"/>
      <c r="O43" s="56"/>
      <c r="P43" s="56"/>
      <c r="Q43" s="56"/>
      <c r="R43" s="56"/>
      <c r="S43" s="77"/>
    </row>
    <row r="44" spans="3:19" x14ac:dyDescent="0.25">
      <c r="C44" s="78"/>
      <c r="D44" s="56"/>
      <c r="E44" s="56"/>
      <c r="F44" s="56"/>
      <c r="G44" s="56"/>
      <c r="H44" s="56"/>
      <c r="I44" s="77"/>
      <c r="L44" s="78"/>
      <c r="M44" s="56"/>
      <c r="N44" s="56"/>
      <c r="O44" s="56"/>
      <c r="P44" s="56"/>
      <c r="Q44" s="56"/>
      <c r="R44" s="56"/>
      <c r="S44" s="77"/>
    </row>
    <row r="45" spans="3:19" x14ac:dyDescent="0.25">
      <c r="C45" s="78"/>
      <c r="D45" s="56"/>
      <c r="E45" s="56"/>
      <c r="F45" s="56"/>
      <c r="G45" s="56"/>
      <c r="H45" s="56"/>
      <c r="I45" s="77"/>
      <c r="L45" s="78"/>
      <c r="M45" s="56"/>
      <c r="N45" s="56"/>
      <c r="O45" s="56"/>
      <c r="P45" s="56"/>
      <c r="Q45" s="56"/>
      <c r="R45" s="56"/>
      <c r="S45" s="77"/>
    </row>
    <row r="46" spans="3:19" x14ac:dyDescent="0.25">
      <c r="C46" s="78"/>
      <c r="D46" s="56"/>
      <c r="E46" s="56"/>
      <c r="F46" s="56"/>
      <c r="G46" s="56"/>
      <c r="H46" s="56"/>
      <c r="I46" s="77"/>
      <c r="L46" s="78"/>
      <c r="M46" s="56"/>
      <c r="N46" s="56"/>
      <c r="O46" s="56"/>
      <c r="P46" s="56"/>
      <c r="Q46" s="56"/>
      <c r="R46" s="56"/>
      <c r="S46" s="77"/>
    </row>
    <row r="47" spans="3:19" x14ac:dyDescent="0.25">
      <c r="C47" s="78"/>
      <c r="D47" s="56"/>
      <c r="E47" s="56"/>
      <c r="F47" s="56"/>
      <c r="G47" s="56"/>
      <c r="H47" s="56"/>
      <c r="I47" s="77"/>
      <c r="L47" s="78"/>
      <c r="M47" s="56"/>
      <c r="N47" s="56"/>
      <c r="O47" s="56"/>
      <c r="P47" s="56"/>
      <c r="Q47" s="56"/>
      <c r="R47" s="56"/>
      <c r="S47" s="77"/>
    </row>
    <row r="48" spans="3:19" x14ac:dyDescent="0.25">
      <c r="C48" s="78"/>
      <c r="D48" s="56"/>
      <c r="E48" s="56"/>
      <c r="F48" s="56"/>
      <c r="G48" s="56"/>
      <c r="H48" s="56"/>
      <c r="I48" s="77"/>
      <c r="L48" s="78"/>
      <c r="M48" s="56"/>
      <c r="N48" s="56"/>
      <c r="O48" s="56"/>
      <c r="P48" s="56"/>
      <c r="Q48" s="56"/>
      <c r="R48" s="56"/>
      <c r="S48" s="77"/>
    </row>
    <row r="49" spans="3:19" x14ac:dyDescent="0.25">
      <c r="C49" s="78"/>
      <c r="D49" s="56"/>
      <c r="E49" s="56"/>
      <c r="F49" s="56"/>
      <c r="G49" s="56"/>
      <c r="H49" s="56"/>
      <c r="I49" s="77"/>
      <c r="L49" s="78"/>
      <c r="M49" s="56"/>
      <c r="N49" s="56"/>
      <c r="O49" s="56"/>
      <c r="P49" s="56"/>
      <c r="Q49" s="56"/>
      <c r="R49" s="56"/>
      <c r="S49" s="77"/>
    </row>
    <row r="50" spans="3:19" x14ac:dyDescent="0.25">
      <c r="C50" s="78"/>
      <c r="D50" s="56"/>
      <c r="E50" s="56"/>
      <c r="F50" s="56"/>
      <c r="G50" s="56"/>
      <c r="H50" s="56"/>
      <c r="I50" s="77"/>
      <c r="L50" s="78"/>
      <c r="M50" s="56"/>
      <c r="N50" s="56"/>
      <c r="O50" s="56"/>
      <c r="P50" s="56"/>
      <c r="Q50" s="56"/>
      <c r="R50" s="56"/>
      <c r="S50" s="77"/>
    </row>
    <row r="51" spans="3:19" x14ac:dyDescent="0.25">
      <c r="C51" s="78"/>
      <c r="D51" s="56"/>
      <c r="E51" s="56"/>
      <c r="F51" s="56"/>
      <c r="G51" s="56"/>
      <c r="H51" s="56"/>
      <c r="I51" s="77"/>
      <c r="L51" s="78"/>
      <c r="M51" s="56"/>
      <c r="N51" s="56"/>
      <c r="O51" s="56"/>
      <c r="P51" s="56"/>
      <c r="Q51" s="56"/>
      <c r="R51" s="56"/>
      <c r="S51" s="77"/>
    </row>
    <row r="52" spans="3:19" x14ac:dyDescent="0.25">
      <c r="C52" s="78"/>
      <c r="D52" s="56"/>
      <c r="E52" s="56"/>
      <c r="F52" s="56"/>
      <c r="G52" s="56"/>
      <c r="H52" s="56"/>
      <c r="I52" s="77"/>
      <c r="L52" s="78"/>
      <c r="M52" s="56"/>
      <c r="N52" s="56"/>
      <c r="O52" s="56"/>
      <c r="P52" s="56"/>
      <c r="Q52" s="56"/>
      <c r="R52" s="56"/>
      <c r="S52" s="77"/>
    </row>
    <row r="53" spans="3:19" x14ac:dyDescent="0.25">
      <c r="C53" s="78"/>
      <c r="D53" s="56"/>
      <c r="E53" s="56"/>
      <c r="F53" s="56"/>
      <c r="G53" s="56"/>
      <c r="H53" s="56"/>
      <c r="I53" s="77"/>
      <c r="L53" s="78"/>
      <c r="M53" s="56"/>
      <c r="N53" s="56"/>
      <c r="O53" s="56"/>
      <c r="P53" s="56"/>
      <c r="Q53" s="56"/>
      <c r="R53" s="56"/>
      <c r="S53" s="77"/>
    </row>
    <row r="54" spans="3:19" ht="15.75" thickBot="1" x14ac:dyDescent="0.3">
      <c r="C54" s="79"/>
      <c r="D54" s="80"/>
      <c r="E54" s="80"/>
      <c r="F54" s="80"/>
      <c r="G54" s="80"/>
      <c r="H54" s="80"/>
      <c r="I54" s="81"/>
      <c r="L54" s="79"/>
      <c r="M54" s="80"/>
      <c r="N54" s="80"/>
      <c r="O54" s="80"/>
      <c r="P54" s="80"/>
      <c r="Q54" s="80"/>
      <c r="R54" s="80"/>
      <c r="S54" s="81"/>
    </row>
    <row r="56" spans="3:19" x14ac:dyDescent="0.25">
      <c r="C56" s="226" t="s">
        <v>223</v>
      </c>
      <c r="D56" s="227"/>
      <c r="E56" s="83" t="s">
        <v>248</v>
      </c>
    </row>
    <row r="57" spans="3:19" x14ac:dyDescent="0.25">
      <c r="C57" s="23">
        <v>5</v>
      </c>
      <c r="D57" s="46" t="s">
        <v>156</v>
      </c>
      <c r="E57" s="215" t="s">
        <v>249</v>
      </c>
    </row>
    <row r="58" spans="3:19" x14ac:dyDescent="0.25">
      <c r="C58" s="23">
        <v>10</v>
      </c>
      <c r="D58" s="46" t="s">
        <v>156</v>
      </c>
      <c r="E58" s="215" t="s">
        <v>249</v>
      </c>
    </row>
    <row r="59" spans="3:19" x14ac:dyDescent="0.25">
      <c r="C59" s="50">
        <v>15</v>
      </c>
      <c r="D59" s="38" t="s">
        <v>156</v>
      </c>
      <c r="E59" s="216" t="s">
        <v>249</v>
      </c>
    </row>
    <row r="61" spans="3:19" x14ac:dyDescent="0.25">
      <c r="C61" s="223" t="s">
        <v>164</v>
      </c>
      <c r="D61" s="224"/>
      <c r="E61" s="225"/>
    </row>
    <row r="62" spans="3:19" x14ac:dyDescent="0.25">
      <c r="C62" s="228" t="s">
        <v>244</v>
      </c>
      <c r="D62" s="24">
        <v>100</v>
      </c>
      <c r="E62" s="46" t="s">
        <v>245</v>
      </c>
    </row>
    <row r="63" spans="3:19" x14ac:dyDescent="0.25">
      <c r="C63" s="229"/>
      <c r="D63" s="67">
        <f>D62/10/1000</f>
        <v>0.01</v>
      </c>
      <c r="E63" s="38" t="s">
        <v>246</v>
      </c>
    </row>
  </sheetData>
  <mergeCells count="3">
    <mergeCell ref="C61:E61"/>
    <mergeCell ref="C56:D56"/>
    <mergeCell ref="C62:C6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F901-A655-4790-AC00-70C7FAA99275}">
  <sheetPr>
    <tabColor rgb="FF00B050"/>
  </sheetPr>
  <dimension ref="B2:AI130"/>
  <sheetViews>
    <sheetView showGridLines="0" topLeftCell="A36" zoomScale="70" zoomScaleNormal="70" workbookViewId="0">
      <selection activeCell="I104" sqref="I104"/>
    </sheetView>
  </sheetViews>
  <sheetFormatPr defaultColWidth="10.85546875" defaultRowHeight="16.5" x14ac:dyDescent="0.3"/>
  <cols>
    <col min="1" max="1" width="10.85546875" style="168"/>
    <col min="2" max="2" width="17.28515625" style="168" customWidth="1"/>
    <col min="3" max="3" width="13.85546875" style="168" bestFit="1" customWidth="1"/>
    <col min="4" max="4" width="11" style="168" bestFit="1" customWidth="1"/>
    <col min="5" max="5" width="7" style="168" bestFit="1" customWidth="1"/>
    <col min="6" max="6" width="9.7109375" style="168" bestFit="1" customWidth="1"/>
    <col min="7" max="7" width="5.28515625" style="168" customWidth="1"/>
    <col min="8" max="9" width="11" style="168" bestFit="1" customWidth="1"/>
    <col min="10" max="10" width="6.85546875" style="168" bestFit="1" customWidth="1"/>
    <col min="11" max="11" width="11.85546875" style="168" bestFit="1" customWidth="1"/>
    <col min="12" max="12" width="12.5703125" style="168" bestFit="1" customWidth="1"/>
    <col min="13" max="13" width="14.28515625" style="168" bestFit="1" customWidth="1"/>
    <col min="14" max="14" width="13.85546875" style="168" bestFit="1" customWidth="1"/>
    <col min="15" max="15" width="16.85546875" style="168" bestFit="1" customWidth="1"/>
    <col min="16" max="16" width="12.85546875" style="168" bestFit="1" customWidth="1"/>
    <col min="17" max="17" width="13.140625" style="168" bestFit="1" customWidth="1"/>
    <col min="18" max="18" width="14.5703125" style="168" bestFit="1" customWidth="1"/>
    <col min="19" max="19" width="20" style="168" bestFit="1" customWidth="1"/>
    <col min="20" max="20" width="14" style="168" hidden="1" customWidth="1"/>
    <col min="21" max="21" width="12.5703125" style="168" hidden="1" customWidth="1"/>
    <col min="22" max="22" width="14" style="168" hidden="1" customWidth="1"/>
    <col min="23" max="23" width="12.5703125" style="168" hidden="1" customWidth="1"/>
    <col min="24" max="24" width="10.7109375" style="168" hidden="1" customWidth="1"/>
    <col min="25" max="25" width="12.5703125" style="168" hidden="1" customWidth="1"/>
    <col min="26" max="26" width="12.85546875" style="168" hidden="1" customWidth="1"/>
    <col min="27" max="27" width="11" style="168" hidden="1" customWidth="1"/>
    <col min="28" max="28" width="12.5703125" style="168" hidden="1" customWidth="1"/>
    <col min="29" max="29" width="19.7109375" style="168" bestFit="1" customWidth="1"/>
    <col min="30" max="30" width="10.7109375" style="168" bestFit="1" customWidth="1"/>
    <col min="31" max="32" width="14.5703125" style="168" bestFit="1" customWidth="1"/>
    <col min="33" max="33" width="4.42578125" style="168" customWidth="1"/>
    <col min="34" max="34" width="22.85546875" style="168" bestFit="1" customWidth="1"/>
    <col min="35" max="35" width="14" style="168" bestFit="1" customWidth="1"/>
    <col min="36" max="16384" width="10.85546875" style="168"/>
  </cols>
  <sheetData>
    <row r="2" spans="2:35" ht="129" x14ac:dyDescent="2.2000000000000002">
      <c r="B2" s="167" t="s">
        <v>250</v>
      </c>
    </row>
    <row r="3" spans="2:35" x14ac:dyDescent="0.3">
      <c r="B3" s="260" t="s">
        <v>150</v>
      </c>
      <c r="C3" s="260"/>
      <c r="D3" s="260"/>
      <c r="E3" s="260"/>
      <c r="F3" s="260"/>
      <c r="H3" s="260" t="s">
        <v>201</v>
      </c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</row>
    <row r="4" spans="2:35" x14ac:dyDescent="0.3">
      <c r="B4" s="169" t="s">
        <v>94</v>
      </c>
      <c r="C4" s="170" t="s">
        <v>151</v>
      </c>
      <c r="D4" s="171" t="s">
        <v>217</v>
      </c>
      <c r="E4" s="169" t="s">
        <v>170</v>
      </c>
      <c r="F4" s="171" t="s">
        <v>243</v>
      </c>
      <c r="H4" s="260" t="s">
        <v>56</v>
      </c>
      <c r="I4" s="261" t="s">
        <v>116</v>
      </c>
      <c r="J4" s="262"/>
      <c r="K4" s="263"/>
      <c r="L4" s="261" t="s">
        <v>6</v>
      </c>
      <c r="M4" s="262"/>
      <c r="N4" s="262"/>
      <c r="O4" s="263"/>
      <c r="P4" s="262" t="s">
        <v>166</v>
      </c>
      <c r="Q4" s="263"/>
      <c r="R4" s="261" t="s">
        <v>174</v>
      </c>
      <c r="S4" s="263"/>
      <c r="T4" s="261" t="s">
        <v>229</v>
      </c>
      <c r="U4" s="262"/>
      <c r="V4" s="263"/>
      <c r="W4" s="261" t="s">
        <v>230</v>
      </c>
      <c r="X4" s="262"/>
      <c r="Y4" s="263"/>
      <c r="Z4" s="261" t="s">
        <v>126</v>
      </c>
      <c r="AA4" s="262"/>
      <c r="AB4" s="263"/>
      <c r="AC4" s="170"/>
      <c r="AD4" s="170"/>
      <c r="AE4" s="260" t="s">
        <v>197</v>
      </c>
      <c r="AF4" s="260"/>
      <c r="AH4" s="172" t="s">
        <v>194</v>
      </c>
      <c r="AI4" s="173">
        <f>IRR(AE7:AE12)</f>
        <v>0.64896922144019098</v>
      </c>
    </row>
    <row r="5" spans="2:35" x14ac:dyDescent="0.3">
      <c r="B5" s="174"/>
      <c r="C5" s="169" t="s">
        <v>117</v>
      </c>
      <c r="D5" s="169" t="s">
        <v>117</v>
      </c>
      <c r="E5" s="169" t="s">
        <v>117</v>
      </c>
      <c r="F5" s="169" t="s">
        <v>117</v>
      </c>
      <c r="G5" s="175"/>
      <c r="H5" s="260"/>
      <c r="I5" s="258" t="s">
        <v>153</v>
      </c>
      <c r="J5" s="209" t="s">
        <v>170</v>
      </c>
      <c r="K5" s="209" t="s">
        <v>243</v>
      </c>
      <c r="L5" s="209" t="s">
        <v>162</v>
      </c>
      <c r="M5" s="209" t="s">
        <v>139</v>
      </c>
      <c r="N5" s="209" t="s">
        <v>164</v>
      </c>
      <c r="O5" s="209" t="s">
        <v>226</v>
      </c>
      <c r="P5" s="209" t="s">
        <v>165</v>
      </c>
      <c r="Q5" s="209" t="s">
        <v>146</v>
      </c>
      <c r="R5" s="209" t="s">
        <v>174</v>
      </c>
      <c r="S5" s="209" t="s">
        <v>177</v>
      </c>
      <c r="T5" s="209" t="str">
        <f>"+CCA"</f>
        <v>+CCA</v>
      </c>
      <c r="U5" s="209" t="s">
        <v>8</v>
      </c>
      <c r="V5" s="209" t="s">
        <v>231</v>
      </c>
      <c r="W5" s="209" t="str">
        <f>"+CCA"</f>
        <v>+CCA</v>
      </c>
      <c r="X5" s="209" t="s">
        <v>8</v>
      </c>
      <c r="Y5" s="209" t="s">
        <v>231</v>
      </c>
      <c r="Z5" s="209" t="str">
        <f>"+CCA"</f>
        <v>+CCA</v>
      </c>
      <c r="AA5" s="209" t="s">
        <v>8</v>
      </c>
      <c r="AB5" s="209" t="s">
        <v>231</v>
      </c>
      <c r="AC5" s="209" t="s">
        <v>172</v>
      </c>
      <c r="AD5" s="209" t="s">
        <v>175</v>
      </c>
      <c r="AE5" s="209" t="s">
        <v>196</v>
      </c>
      <c r="AF5" s="209" t="s">
        <v>196</v>
      </c>
      <c r="AH5" s="172" t="s">
        <v>195</v>
      </c>
      <c r="AI5" s="177">
        <f>IRR(AF7:AF12)</f>
        <v>0.61663649160803335</v>
      </c>
    </row>
    <row r="6" spans="2:35" x14ac:dyDescent="0.3">
      <c r="B6" s="178">
        <v>1</v>
      </c>
      <c r="C6" s="179">
        <f>Weather!I8*Configurations!$C$55*(1-Constants!$N$9)</f>
        <v>330.31271664868274</v>
      </c>
      <c r="D6" s="179">
        <f>Consumption!D9</f>
        <v>751.57009042842367</v>
      </c>
      <c r="E6" s="179">
        <f>IF(D6-C6&gt;0, D6-C6,0)</f>
        <v>421.25737377974093</v>
      </c>
      <c r="F6" s="180">
        <f>IF(C6&gt;D6,C6-D6,0)</f>
        <v>0</v>
      </c>
      <c r="G6" s="175"/>
      <c r="H6" s="264"/>
      <c r="I6" s="259"/>
      <c r="J6" s="181" t="s">
        <v>62</v>
      </c>
      <c r="K6" s="181" t="s">
        <v>62</v>
      </c>
      <c r="L6" s="181" t="s">
        <v>59</v>
      </c>
      <c r="M6" s="181" t="s">
        <v>59</v>
      </c>
      <c r="N6" s="181" t="s">
        <v>59</v>
      </c>
      <c r="O6" s="181" t="s">
        <v>59</v>
      </c>
      <c r="P6" s="181" t="s">
        <v>59</v>
      </c>
      <c r="Q6" s="181" t="s">
        <v>59</v>
      </c>
      <c r="R6" s="181" t="s">
        <v>59</v>
      </c>
      <c r="S6" s="181" t="s">
        <v>59</v>
      </c>
      <c r="T6" s="181" t="s">
        <v>59</v>
      </c>
      <c r="U6" s="181" t="s">
        <v>59</v>
      </c>
      <c r="V6" s="181" t="s">
        <v>59</v>
      </c>
      <c r="W6" s="181" t="s">
        <v>59</v>
      </c>
      <c r="X6" s="181" t="s">
        <v>59</v>
      </c>
      <c r="Y6" s="181" t="s">
        <v>59</v>
      </c>
      <c r="Z6" s="181" t="s">
        <v>59</v>
      </c>
      <c r="AA6" s="181" t="s">
        <v>59</v>
      </c>
      <c r="AB6" s="181" t="s">
        <v>59</v>
      </c>
      <c r="AC6" s="181" t="s">
        <v>59</v>
      </c>
      <c r="AD6" s="181" t="s">
        <v>59</v>
      </c>
      <c r="AE6" s="181" t="s">
        <v>59</v>
      </c>
      <c r="AF6" s="182" t="s">
        <v>178</v>
      </c>
      <c r="AH6" s="183" t="s">
        <v>198</v>
      </c>
      <c r="AI6" s="184">
        <f>NPV(Constants!$D$21,'Analysis (C)'!AF8:AF12)+'Analysis (C)'!AF7</f>
        <v>3766.5634046528535</v>
      </c>
    </row>
    <row r="7" spans="2:35" x14ac:dyDescent="0.3">
      <c r="B7" s="178">
        <v>2</v>
      </c>
      <c r="C7" s="179">
        <f>Weather!I9*Configurations!$C$55*(1-Constants!$N$9)</f>
        <v>499.71051959736883</v>
      </c>
      <c r="D7" s="179">
        <f>Consumption!D10</f>
        <v>726.25333333333333</v>
      </c>
      <c r="E7" s="179">
        <f t="shared" ref="E7:E17" si="0">IF(D7-C7&gt;0, D7-C7,0)</f>
        <v>226.5428137359645</v>
      </c>
      <c r="F7" s="180">
        <f t="shared" ref="F7:F8" si="1">IF(C7&gt;D7,C7-D7,0)</f>
        <v>0</v>
      </c>
      <c r="H7" s="185">
        <v>0</v>
      </c>
      <c r="I7" s="186">
        <v>1</v>
      </c>
      <c r="J7" s="187">
        <v>0</v>
      </c>
      <c r="K7" s="187">
        <v>0</v>
      </c>
      <c r="L7" s="188">
        <v>0</v>
      </c>
      <c r="M7" s="189">
        <f>IF($C$20=0,Configurations!$C$58-Configurations!$C$59,0)</f>
        <v>0</v>
      </c>
      <c r="N7" s="189">
        <v>0</v>
      </c>
      <c r="O7" s="189">
        <v>0</v>
      </c>
      <c r="P7" s="189">
        <f>K7*'Grid Power'!$L$18</f>
        <v>0</v>
      </c>
      <c r="Q7" s="189">
        <v>0</v>
      </c>
      <c r="R7" s="188">
        <f>SUM(P7:Q7)-SUM(L7:O7)</f>
        <v>0</v>
      </c>
      <c r="S7" s="188">
        <f>R7+'Analysis (Nothing)'!D5</f>
        <v>0</v>
      </c>
      <c r="T7" s="188">
        <f>Configurations!$C$71/2</f>
        <v>9108</v>
      </c>
      <c r="U7" s="188">
        <f>0</f>
        <v>0</v>
      </c>
      <c r="V7" s="188">
        <f>U7+T7</f>
        <v>9108</v>
      </c>
      <c r="W7" s="188">
        <f>Configurations!$D$71/2</f>
        <v>1490.3999999999999</v>
      </c>
      <c r="X7" s="188">
        <f>0</f>
        <v>0</v>
      </c>
      <c r="Y7" s="188">
        <f>X7+W7</f>
        <v>1490.3999999999999</v>
      </c>
      <c r="Z7" s="188">
        <f>Configurations!$E$71/2</f>
        <v>2318.4</v>
      </c>
      <c r="AA7" s="189">
        <v>0</v>
      </c>
      <c r="AB7" s="188">
        <f>Z7-AA7</f>
        <v>2318.4</v>
      </c>
      <c r="AC7" s="189">
        <f>IF(S7&lt;0, 0,S7-AA7-X7-U7)</f>
        <v>0</v>
      </c>
      <c r="AD7" s="188">
        <f>AC7*Constants!$D$23</f>
        <v>0</v>
      </c>
      <c r="AE7" s="188">
        <f t="shared" ref="AE7:AE12" si="2">S7-AD7</f>
        <v>0</v>
      </c>
      <c r="AF7" s="190">
        <f>AE7*(1+Constants!$D$20)^-H7</f>
        <v>0</v>
      </c>
      <c r="AH7" s="172" t="s">
        <v>199</v>
      </c>
      <c r="AI7" s="191">
        <f>PMT(Constants!$D$21,5,-'Analysis (C)'!AI6)</f>
        <v>822.44633787606813</v>
      </c>
    </row>
    <row r="8" spans="2:35" x14ac:dyDescent="0.3">
      <c r="B8" s="178">
        <v>3</v>
      </c>
      <c r="C8" s="179">
        <f>Weather!I10*Configurations!$C$55*(1-Constants!$N$9)</f>
        <v>908.26095106628361</v>
      </c>
      <c r="D8" s="179">
        <f>Consumption!D11</f>
        <v>691.67</v>
      </c>
      <c r="E8" s="179">
        <f t="shared" si="0"/>
        <v>0</v>
      </c>
      <c r="F8" s="180">
        <f t="shared" si="1"/>
        <v>216.59095106628365</v>
      </c>
      <c r="H8" s="178">
        <v>1</v>
      </c>
      <c r="I8" s="192">
        <f>I7*(1-Constants!$D$11)</f>
        <v>0.995</v>
      </c>
      <c r="J8" s="179">
        <f>$E$18*(2-I8)</f>
        <v>1194.6813911615995</v>
      </c>
      <c r="K8" s="179">
        <f>$F$18*I8</f>
        <v>10943.549363681579</v>
      </c>
      <c r="L8" s="193">
        <f>IF(J8*'Grid Power'!K18&lt;0,0,J8*'Grid Power'!K18)</f>
        <v>145.51296281829875</v>
      </c>
      <c r="M8" s="194">
        <f>IF($C$20=5,Configurations!$F$58,IF('Analysis (C)'!$C$20=15,Configurations!$F$59,0))</f>
        <v>2323.7759771349743</v>
      </c>
      <c r="N8" s="194">
        <f>Configurations!$C$55*Constants!$D$63*1000</f>
        <v>100</v>
      </c>
      <c r="O8" s="194">
        <v>0</v>
      </c>
      <c r="P8" s="194">
        <f>K8*'Grid Power'!L18</f>
        <v>1116.2398354420991</v>
      </c>
      <c r="Q8" s="194"/>
      <c r="R8" s="193">
        <f>SUM(P8:Q8)-SUM(L8:O8)</f>
        <v>-1453.0491045111737</v>
      </c>
      <c r="S8" s="193">
        <f>R8+'Analysis (Nothing)'!D6</f>
        <v>-442.09888728541364</v>
      </c>
      <c r="T8" s="193">
        <f>Configurations!$C$71/2</f>
        <v>9108</v>
      </c>
      <c r="U8" s="193">
        <f>V7*Configurations!$C$72</f>
        <v>2732.4</v>
      </c>
      <c r="V8" s="193">
        <f>V7+T8-U8</f>
        <v>15483.6</v>
      </c>
      <c r="W8" s="193">
        <f>Configurations!$D$71/2</f>
        <v>1490.3999999999999</v>
      </c>
      <c r="X8" s="193">
        <f>Y7*Configurations!$D$72</f>
        <v>149.04</v>
      </c>
      <c r="Y8" s="193">
        <f>Y7+W8-X8</f>
        <v>2831.7599999999998</v>
      </c>
      <c r="Z8" s="193">
        <f>Configurations!$E$71/2</f>
        <v>2318.4</v>
      </c>
      <c r="AA8" s="193">
        <f>AB7*Configurations!$E$72</f>
        <v>463.68000000000006</v>
      </c>
      <c r="AB8" s="193">
        <f>AB7+Z8-AA8</f>
        <v>4173.12</v>
      </c>
      <c r="AC8" s="194">
        <f>IF(S8-AA8-X8-U8&lt;0, 0,S8-AA8-X8-U8)</f>
        <v>0</v>
      </c>
      <c r="AD8" s="193">
        <f>AC8*Constants!$D$23</f>
        <v>0</v>
      </c>
      <c r="AE8" s="193">
        <f t="shared" si="2"/>
        <v>-442.09888728541364</v>
      </c>
      <c r="AF8" s="195">
        <f>AE8*(1+Constants!$D$20)^-H8</f>
        <v>-433.43028165236632</v>
      </c>
    </row>
    <row r="9" spans="2:35" x14ac:dyDescent="0.3">
      <c r="B9" s="178">
        <v>4</v>
      </c>
      <c r="C9" s="179">
        <f>Weather!I11*Configurations!$C$55*(1-Constants!$N$9)</f>
        <v>1563.4331572671431</v>
      </c>
      <c r="D9" s="179">
        <f>Consumption!D12</f>
        <v>657.08666666666659</v>
      </c>
      <c r="E9" s="179">
        <f t="shared" si="0"/>
        <v>0</v>
      </c>
      <c r="F9" s="180">
        <f>IF(C9&gt;D9,C9-D9,0)</f>
        <v>906.3464906004765</v>
      </c>
      <c r="H9" s="178">
        <v>2</v>
      </c>
      <c r="I9" s="192">
        <f>I8*(1-Constants!$D$11)</f>
        <v>0.99002500000000004</v>
      </c>
      <c r="J9" s="179">
        <f t="shared" ref="J9:J12" si="3">$E$18*(2-I9)</f>
        <v>1200.5953612322751</v>
      </c>
      <c r="K9" s="179">
        <f t="shared" ref="K9:K12" si="4">$F$18*I9</f>
        <v>10888.831616863172</v>
      </c>
      <c r="L9" s="193">
        <f>IF(J9*'Grid Power'!K19&lt;0,0,J9*'Grid Power'!K19)</f>
        <v>152.87003132659842</v>
      </c>
      <c r="M9" s="194">
        <f>IF($C$20=5,Configurations!$F$58,IF('Analysis (C)'!$C$20=15,Configurations!$F$59,0))</f>
        <v>2323.7759771349743</v>
      </c>
      <c r="N9" s="194">
        <f>N8*(1+Constants!$D$20)</f>
        <v>102</v>
      </c>
      <c r="O9" s="194">
        <v>0</v>
      </c>
      <c r="P9" s="194">
        <f>K9*'Grid Power'!L19</f>
        <v>1121.7652226275375</v>
      </c>
      <c r="Q9" s="194"/>
      <c r="R9" s="193">
        <f>SUM(P9:Q9)-SUM(L9:O9)</f>
        <v>-1456.8807858340354</v>
      </c>
      <c r="S9" s="193">
        <f>R9+'Analysis (Nothing)'!D7</f>
        <v>-400.04897073380653</v>
      </c>
      <c r="T9" s="193">
        <v>0</v>
      </c>
      <c r="U9" s="193">
        <f>V8*Configurations!$C$72</f>
        <v>4645.08</v>
      </c>
      <c r="V9" s="193">
        <f t="shared" ref="V9:V12" si="5">V8+T9-U9</f>
        <v>10838.52</v>
      </c>
      <c r="W9" s="193">
        <v>0</v>
      </c>
      <c r="X9" s="193">
        <f>Y8*Configurations!$D$72</f>
        <v>283.17599999999999</v>
      </c>
      <c r="Y9" s="193">
        <f t="shared" ref="Y9:Y12" si="6">Y8+W9-X9</f>
        <v>2548.5839999999998</v>
      </c>
      <c r="Z9" s="194">
        <v>0</v>
      </c>
      <c r="AA9" s="193">
        <f>AB8*Configurations!$E$72</f>
        <v>834.62400000000002</v>
      </c>
      <c r="AB9" s="193">
        <f t="shared" ref="AB9:AB12" si="7">AB8+Z9-AA9</f>
        <v>3338.4960000000001</v>
      </c>
      <c r="AC9" s="194">
        <f t="shared" ref="AC9:AC12" si="8">IF(S9-AA9-X9-U9&lt;0, 0,S9-AA9-X9-U9)</f>
        <v>0</v>
      </c>
      <c r="AD9" s="193">
        <f>AC9*Constants!$D$23</f>
        <v>0</v>
      </c>
      <c r="AE9" s="193">
        <f t="shared" si="2"/>
        <v>-400.04897073380653</v>
      </c>
      <c r="AF9" s="195">
        <f>AE9*(1+Constants!$D$20)^-H9</f>
        <v>-384.51458163572335</v>
      </c>
    </row>
    <row r="10" spans="2:35" x14ac:dyDescent="0.3">
      <c r="B10" s="178">
        <v>5</v>
      </c>
      <c r="C10" s="179">
        <f>Weather!I12*Configurations!$C$55*(1-Constants!$N$9)</f>
        <v>2321.0216009620599</v>
      </c>
      <c r="D10" s="179">
        <f>Consumption!D13</f>
        <v>631.76990957157625</v>
      </c>
      <c r="E10" s="179">
        <f t="shared" si="0"/>
        <v>0</v>
      </c>
      <c r="F10" s="180">
        <f t="shared" ref="F10:F17" si="9">IF(C10&gt;D10,C10-D10,0)</f>
        <v>1689.2516913904838</v>
      </c>
      <c r="H10" s="178">
        <v>3</v>
      </c>
      <c r="I10" s="192">
        <f>I9*(1-Constants!$D$11)</f>
        <v>0.98507487500000002</v>
      </c>
      <c r="J10" s="179">
        <f t="shared" si="3"/>
        <v>1206.4797614525976</v>
      </c>
      <c r="K10" s="179">
        <f t="shared" si="4"/>
        <v>10834.387458778856</v>
      </c>
      <c r="L10" s="193">
        <f>IF(J10*'Grid Power'!K20&lt;0,0,J10*'Grid Power'!K20)</f>
        <v>160.61053358370214</v>
      </c>
      <c r="M10" s="194">
        <f>IF($C$20=5,Configurations!$F$58,IF('Analysis (C)'!$C$20=15,Configurations!$F$59,0))</f>
        <v>2323.7759771349743</v>
      </c>
      <c r="N10" s="194">
        <f>N9*(1+Constants!$D$20)</f>
        <v>104.04</v>
      </c>
      <c r="O10" s="194">
        <v>0</v>
      </c>
      <c r="P10" s="194">
        <f>K10*'Grid Power'!L20</f>
        <v>1127.3179604795439</v>
      </c>
      <c r="Q10" s="194"/>
      <c r="R10" s="193">
        <f>SUM(P10:Q10)-SUM(L10:O10)</f>
        <v>-1461.1085502391327</v>
      </c>
      <c r="S10" s="193">
        <f>R10+'Analysis (Nothing)'!D8</f>
        <v>-356.18006676332652</v>
      </c>
      <c r="T10" s="193">
        <v>0</v>
      </c>
      <c r="U10" s="193">
        <f>V9*Configurations!$C$72</f>
        <v>3251.556</v>
      </c>
      <c r="V10" s="193">
        <f t="shared" si="5"/>
        <v>7586.9639999999999</v>
      </c>
      <c r="W10" s="193">
        <v>0</v>
      </c>
      <c r="X10" s="193">
        <f>Y9*Configurations!$D$72</f>
        <v>254.85839999999999</v>
      </c>
      <c r="Y10" s="193">
        <f t="shared" si="6"/>
        <v>2293.7255999999998</v>
      </c>
      <c r="Z10" s="194">
        <v>0</v>
      </c>
      <c r="AA10" s="193">
        <f>AB9*Configurations!$E$72</f>
        <v>667.69920000000002</v>
      </c>
      <c r="AB10" s="193">
        <f t="shared" si="7"/>
        <v>2670.7968000000001</v>
      </c>
      <c r="AC10" s="194">
        <f t="shared" si="8"/>
        <v>0</v>
      </c>
      <c r="AD10" s="193">
        <f>AC10*Constants!$D$23</f>
        <v>0</v>
      </c>
      <c r="AE10" s="193">
        <f t="shared" si="2"/>
        <v>-356.18006676332652</v>
      </c>
      <c r="AF10" s="195">
        <f>AE10*(1+Constants!$D$20)^-H10</f>
        <v>-335.63643203154004</v>
      </c>
    </row>
    <row r="11" spans="2:35" x14ac:dyDescent="0.3">
      <c r="B11" s="178">
        <v>6</v>
      </c>
      <c r="C11" s="179">
        <f>Weather!I13*Configurations!$C$55*(1-Constants!$N$9)</f>
        <v>2892.4313709401999</v>
      </c>
      <c r="D11" s="179">
        <f>Consumption!D14</f>
        <v>622.50333333333333</v>
      </c>
      <c r="E11" s="179">
        <f t="shared" si="0"/>
        <v>0</v>
      </c>
      <c r="F11" s="180">
        <f t="shared" si="9"/>
        <v>2269.9280376068664</v>
      </c>
      <c r="H11" s="178">
        <v>4</v>
      </c>
      <c r="I11" s="192">
        <f>I10*(1-Constants!$D$11)</f>
        <v>0.98014950062500006</v>
      </c>
      <c r="J11" s="179">
        <f t="shared" si="3"/>
        <v>1212.3347396718182</v>
      </c>
      <c r="K11" s="179">
        <f t="shared" si="4"/>
        <v>10780.215521484963</v>
      </c>
      <c r="L11" s="193">
        <f>IF(J11*'Grid Power'!K21&lt;0,0,J11*'Grid Power'!K21)</f>
        <v>168.75478659908939</v>
      </c>
      <c r="M11" s="194">
        <f>IF($C$20=5,Configurations!$F$58,IF('Analysis (C)'!$C$20=15,Configurations!$F$59,0))</f>
        <v>2323.7759771349743</v>
      </c>
      <c r="N11" s="194">
        <f>N10*(1+Constants!$D$20)</f>
        <v>106.1208</v>
      </c>
      <c r="O11" s="194">
        <v>0</v>
      </c>
      <c r="P11" s="194">
        <f>K11*'Grid Power'!L21</f>
        <v>1132.8981843839176</v>
      </c>
      <c r="Q11" s="194"/>
      <c r="R11" s="193">
        <f>SUM(P11:Q11)-SUM(L11:O11)</f>
        <v>-1465.7533793501464</v>
      </c>
      <c r="S11" s="193">
        <f>R11+'Analysis (Nothing)'!D9</f>
        <v>-310.40293600388782</v>
      </c>
      <c r="T11" s="193">
        <v>0</v>
      </c>
      <c r="U11" s="193">
        <f>V10*Configurations!$C$72</f>
        <v>2276.0891999999999</v>
      </c>
      <c r="V11" s="193">
        <f t="shared" si="5"/>
        <v>5310.8747999999996</v>
      </c>
      <c r="W11" s="193">
        <v>0</v>
      </c>
      <c r="X11" s="193">
        <f>Y10*Configurations!$D$72</f>
        <v>229.37255999999999</v>
      </c>
      <c r="Y11" s="193">
        <f t="shared" si="6"/>
        <v>2064.35304</v>
      </c>
      <c r="Z11" s="194">
        <v>0</v>
      </c>
      <c r="AA11" s="193">
        <f>AB10*Configurations!$E$72</f>
        <v>534.15935999999999</v>
      </c>
      <c r="AB11" s="193">
        <f t="shared" si="7"/>
        <v>2136.63744</v>
      </c>
      <c r="AC11" s="194">
        <f t="shared" si="8"/>
        <v>0</v>
      </c>
      <c r="AD11" s="193">
        <f>AC11*Constants!$D$23</f>
        <v>0</v>
      </c>
      <c r="AE11" s="193">
        <f t="shared" si="2"/>
        <v>-310.40293600388782</v>
      </c>
      <c r="AF11" s="195">
        <f>AE11*(1+Constants!$D$20)^-H11</f>
        <v>-286.76433265239257</v>
      </c>
    </row>
    <row r="12" spans="2:35" x14ac:dyDescent="0.3">
      <c r="B12" s="178">
        <v>7</v>
      </c>
      <c r="C12" s="179">
        <f>Weather!I14*Configurations!$C$55*(1-Constants!$N$9)</f>
        <v>3007.5334123597399</v>
      </c>
      <c r="D12" s="179">
        <f>Consumption!D15</f>
        <v>631.76990957157625</v>
      </c>
      <c r="E12" s="179">
        <f t="shared" si="0"/>
        <v>0</v>
      </c>
      <c r="F12" s="180">
        <f t="shared" si="9"/>
        <v>2375.7635027881638</v>
      </c>
      <c r="H12" s="196">
        <v>5</v>
      </c>
      <c r="I12" s="197">
        <f>I11*(1-Constants!$D$11)</f>
        <v>0.97524875312187509</v>
      </c>
      <c r="J12" s="198">
        <f t="shared" si="3"/>
        <v>1218.1604429999425</v>
      </c>
      <c r="K12" s="198">
        <f t="shared" si="4"/>
        <v>10726.314443877538</v>
      </c>
      <c r="L12" s="199">
        <f>IF(J12*'Grid Power'!K22&lt;0,0,J12*'Grid Power'!K22)</f>
        <v>177.32418925774044</v>
      </c>
      <c r="M12" s="200">
        <f>IF($C$20=5,Configurations!$F$58,IF('Analysis (C)'!$C$20=15,Configurations!$F$59,0))</f>
        <v>2323.7759771349743</v>
      </c>
      <c r="N12" s="200">
        <f>N11*(1+Constants!$D$20)</f>
        <v>108.243216</v>
      </c>
      <c r="O12" s="200">
        <v>0</v>
      </c>
      <c r="P12" s="200">
        <f>K12*'Grid Power'!L22</f>
        <v>1138.5060303966181</v>
      </c>
      <c r="Q12" s="200">
        <f>V12+Y12+AB12</f>
        <v>7284.840048</v>
      </c>
      <c r="R12" s="199">
        <f>SUM(P12:Q12)-SUM(L12:O12)</f>
        <v>5814.002696003904</v>
      </c>
      <c r="S12" s="199">
        <f>R12+'Analysis (Nothing)'!D10</f>
        <v>7022.2161725326978</v>
      </c>
      <c r="T12" s="199">
        <v>0</v>
      </c>
      <c r="U12" s="199">
        <f>V11*Configurations!$C$72</f>
        <v>1593.2624399999997</v>
      </c>
      <c r="V12" s="199">
        <f t="shared" si="5"/>
        <v>3717.6123600000001</v>
      </c>
      <c r="W12" s="199">
        <v>0</v>
      </c>
      <c r="X12" s="199">
        <f>Y11*Configurations!$D$72</f>
        <v>206.435304</v>
      </c>
      <c r="Y12" s="199">
        <f t="shared" si="6"/>
        <v>1857.9177359999999</v>
      </c>
      <c r="Z12" s="200">
        <v>0</v>
      </c>
      <c r="AA12" s="199">
        <f>AB11*Configurations!$E$72</f>
        <v>427.32748800000002</v>
      </c>
      <c r="AB12" s="199">
        <f t="shared" si="7"/>
        <v>1709.3099520000001</v>
      </c>
      <c r="AC12" s="200">
        <f t="shared" si="8"/>
        <v>4795.1909405326987</v>
      </c>
      <c r="AD12" s="199">
        <f>AC12*Constants!$D$23</f>
        <v>479.5190940532699</v>
      </c>
      <c r="AE12" s="199">
        <f t="shared" si="2"/>
        <v>6542.6970784794275</v>
      </c>
      <c r="AF12" s="201">
        <f>AE12*(1+Constants!$D$20)^-H12</f>
        <v>5925.9223233629973</v>
      </c>
    </row>
    <row r="13" spans="2:35" x14ac:dyDescent="0.3">
      <c r="B13" s="178">
        <v>8</v>
      </c>
      <c r="C13" s="179">
        <f>Weather!I15*Configurations!$C$55*(1-Constants!$N$9)</f>
        <v>2604.2254230461367</v>
      </c>
      <c r="D13" s="179">
        <f>Consumption!D16</f>
        <v>657.08666666666659</v>
      </c>
      <c r="E13" s="179">
        <f t="shared" si="0"/>
        <v>0</v>
      </c>
      <c r="F13" s="180">
        <f t="shared" si="9"/>
        <v>1947.1387563794701</v>
      </c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</row>
    <row r="14" spans="2:35" x14ac:dyDescent="0.3">
      <c r="B14" s="178">
        <v>9</v>
      </c>
      <c r="C14" s="179">
        <f>Weather!I16*Configurations!$C$55*(1-Constants!$N$9)</f>
        <v>1876.1197887205717</v>
      </c>
      <c r="D14" s="179">
        <f>Consumption!D17</f>
        <v>691.67</v>
      </c>
      <c r="E14" s="179">
        <f t="shared" si="0"/>
        <v>0</v>
      </c>
      <c r="F14" s="180">
        <f t="shared" si="9"/>
        <v>1184.4497887205716</v>
      </c>
      <c r="H14" s="260" t="s">
        <v>202</v>
      </c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</row>
    <row r="15" spans="2:35" x14ac:dyDescent="0.3">
      <c r="B15" s="178">
        <v>10</v>
      </c>
      <c r="C15" s="179">
        <f>Weather!I17*Configurations!$C$55*(1-Constants!$N$9)</f>
        <v>1135.3261888328545</v>
      </c>
      <c r="D15" s="179">
        <f>Consumption!D18</f>
        <v>726.25333333333333</v>
      </c>
      <c r="E15" s="179">
        <f t="shared" si="0"/>
        <v>0</v>
      </c>
      <c r="F15" s="180">
        <f t="shared" si="9"/>
        <v>409.07285549952121</v>
      </c>
      <c r="H15" s="260" t="s">
        <v>56</v>
      </c>
      <c r="I15" s="261" t="s">
        <v>116</v>
      </c>
      <c r="J15" s="262"/>
      <c r="K15" s="263"/>
      <c r="L15" s="261" t="s">
        <v>6</v>
      </c>
      <c r="M15" s="262"/>
      <c r="N15" s="262"/>
      <c r="O15" s="263"/>
      <c r="P15" s="262" t="s">
        <v>166</v>
      </c>
      <c r="Q15" s="263"/>
      <c r="R15" s="261" t="s">
        <v>174</v>
      </c>
      <c r="S15" s="263"/>
      <c r="T15" s="261" t="s">
        <v>229</v>
      </c>
      <c r="U15" s="262"/>
      <c r="V15" s="263"/>
      <c r="W15" s="261" t="s">
        <v>230</v>
      </c>
      <c r="X15" s="262"/>
      <c r="Y15" s="263"/>
      <c r="Z15" s="261" t="s">
        <v>126</v>
      </c>
      <c r="AA15" s="262"/>
      <c r="AB15" s="263"/>
      <c r="AC15" s="170"/>
      <c r="AD15" s="170"/>
      <c r="AE15" s="260" t="s">
        <v>197</v>
      </c>
      <c r="AF15" s="260"/>
      <c r="AH15" s="172" t="s">
        <v>194</v>
      </c>
      <c r="AI15" s="173">
        <f>IRR(AE18:AE38)</f>
        <v>1.5638909082556163E-2</v>
      </c>
    </row>
    <row r="16" spans="2:35" x14ac:dyDescent="0.3">
      <c r="B16" s="178">
        <v>11</v>
      </c>
      <c r="C16" s="179">
        <f>Weather!I18*Configurations!$C$55*(1-Constants!$N$9)</f>
        <v>611.65974290529164</v>
      </c>
      <c r="D16" s="179">
        <f>Consumption!D19</f>
        <v>751.57009042842367</v>
      </c>
      <c r="E16" s="179">
        <f t="shared" si="0"/>
        <v>139.91034752313203</v>
      </c>
      <c r="F16" s="180">
        <f t="shared" si="9"/>
        <v>0</v>
      </c>
      <c r="H16" s="260"/>
      <c r="I16" s="258" t="s">
        <v>153</v>
      </c>
      <c r="J16" s="209" t="s">
        <v>170</v>
      </c>
      <c r="K16" s="209" t="s">
        <v>243</v>
      </c>
      <c r="L16" s="209" t="s">
        <v>162</v>
      </c>
      <c r="M16" s="209" t="s">
        <v>139</v>
      </c>
      <c r="N16" s="209" t="s">
        <v>164</v>
      </c>
      <c r="O16" s="209" t="s">
        <v>226</v>
      </c>
      <c r="P16" s="209" t="s">
        <v>165</v>
      </c>
      <c r="Q16" s="209" t="s">
        <v>146</v>
      </c>
      <c r="R16" s="209" t="s">
        <v>174</v>
      </c>
      <c r="S16" s="209" t="s">
        <v>177</v>
      </c>
      <c r="T16" s="209" t="str">
        <f>"+CCA"</f>
        <v>+CCA</v>
      </c>
      <c r="U16" s="209" t="s">
        <v>8</v>
      </c>
      <c r="V16" s="209" t="s">
        <v>231</v>
      </c>
      <c r="W16" s="209" t="str">
        <f>"+CCA"</f>
        <v>+CCA</v>
      </c>
      <c r="X16" s="209" t="s">
        <v>8</v>
      </c>
      <c r="Y16" s="209" t="s">
        <v>231</v>
      </c>
      <c r="Z16" s="209" t="str">
        <f>"+CCA"</f>
        <v>+CCA</v>
      </c>
      <c r="AA16" s="209" t="s">
        <v>8</v>
      </c>
      <c r="AB16" s="209" t="s">
        <v>231</v>
      </c>
      <c r="AC16" s="209" t="s">
        <v>172</v>
      </c>
      <c r="AD16" s="209" t="s">
        <v>175</v>
      </c>
      <c r="AE16" s="209" t="s">
        <v>196</v>
      </c>
      <c r="AF16" s="209" t="s">
        <v>196</v>
      </c>
      <c r="AH16" s="172" t="s">
        <v>195</v>
      </c>
      <c r="AI16" s="177">
        <f>IRR(AF18:AF38)</f>
        <v>-4.2755793308273393E-3</v>
      </c>
    </row>
    <row r="17" spans="2:35" x14ac:dyDescent="0.3">
      <c r="B17" s="178">
        <v>12</v>
      </c>
      <c r="C17" s="179">
        <f>Weather!I19*Configurations!$C$55*(1-Constants!$N$9)</f>
        <v>359.80949905714596</v>
      </c>
      <c r="D17" s="179">
        <f>Consumption!D20</f>
        <v>760.83666666666659</v>
      </c>
      <c r="E17" s="179">
        <f t="shared" si="0"/>
        <v>401.02716760952063</v>
      </c>
      <c r="F17" s="180">
        <f t="shared" si="9"/>
        <v>0</v>
      </c>
      <c r="H17" s="264"/>
      <c r="I17" s="259"/>
      <c r="J17" s="181" t="s">
        <v>62</v>
      </c>
      <c r="K17" s="181" t="s">
        <v>62</v>
      </c>
      <c r="L17" s="181" t="s">
        <v>59</v>
      </c>
      <c r="M17" s="181" t="s">
        <v>59</v>
      </c>
      <c r="N17" s="181" t="s">
        <v>59</v>
      </c>
      <c r="O17" s="181" t="s">
        <v>59</v>
      </c>
      <c r="P17" s="181" t="s">
        <v>59</v>
      </c>
      <c r="Q17" s="181" t="s">
        <v>59</v>
      </c>
      <c r="R17" s="181" t="s">
        <v>59</v>
      </c>
      <c r="S17" s="181" t="s">
        <v>59</v>
      </c>
      <c r="T17" s="181" t="s">
        <v>59</v>
      </c>
      <c r="U17" s="181" t="s">
        <v>59</v>
      </c>
      <c r="V17" s="181" t="s">
        <v>59</v>
      </c>
      <c r="W17" s="181" t="s">
        <v>59</v>
      </c>
      <c r="X17" s="181" t="s">
        <v>59</v>
      </c>
      <c r="Y17" s="181" t="s">
        <v>59</v>
      </c>
      <c r="Z17" s="181" t="s">
        <v>59</v>
      </c>
      <c r="AA17" s="181" t="s">
        <v>59</v>
      </c>
      <c r="AB17" s="181" t="s">
        <v>59</v>
      </c>
      <c r="AC17" s="181" t="s">
        <v>59</v>
      </c>
      <c r="AD17" s="181" t="s">
        <v>59</v>
      </c>
      <c r="AE17" s="181" t="s">
        <v>59</v>
      </c>
      <c r="AF17" s="182" t="s">
        <v>178</v>
      </c>
      <c r="AH17" s="183" t="s">
        <v>198</v>
      </c>
      <c r="AI17" s="184">
        <f>NPV(Constants!$D$21,'Analysis (C)'!AF19:AF38)+'Analysis (C)'!AF18</f>
        <v>-2326.1044247759792</v>
      </c>
    </row>
    <row r="18" spans="2:35" x14ac:dyDescent="0.3">
      <c r="B18" s="203" t="s">
        <v>87</v>
      </c>
      <c r="C18" s="204">
        <f>SUM(C6:C17)</f>
        <v>18109.84437140348</v>
      </c>
      <c r="D18" s="204">
        <f>SUM(D6:D17)</f>
        <v>8300.0400000000009</v>
      </c>
      <c r="E18" s="204">
        <f>SUM(E6:E17)</f>
        <v>1188.737702648358</v>
      </c>
      <c r="F18" s="205">
        <f>SUM(F6:F17)</f>
        <v>10998.542074051838</v>
      </c>
      <c r="G18" s="202"/>
      <c r="H18" s="185">
        <v>0</v>
      </c>
      <c r="I18" s="186">
        <v>1</v>
      </c>
      <c r="J18" s="187">
        <v>0</v>
      </c>
      <c r="K18" s="187">
        <v>0</v>
      </c>
      <c r="L18" s="188">
        <v>0</v>
      </c>
      <c r="M18" s="189">
        <f>IF($C$20=0,Configurations!$C$58-Configurations!$C$59,0)</f>
        <v>0</v>
      </c>
      <c r="N18" s="189">
        <v>0</v>
      </c>
      <c r="O18" s="189">
        <v>0</v>
      </c>
      <c r="P18" s="189">
        <f>K18*'Grid Power'!$L$18</f>
        <v>0</v>
      </c>
      <c r="Q18" s="189">
        <v>0</v>
      </c>
      <c r="R18" s="188">
        <f>SUM(P18:Q18)-SUM(L18:O18)</f>
        <v>0</v>
      </c>
      <c r="S18" s="188">
        <f>R18+'Analysis (Nothing)'!D5</f>
        <v>0</v>
      </c>
      <c r="T18" s="188">
        <f>Configurations!$C$71/2</f>
        <v>9108</v>
      </c>
      <c r="U18" s="188">
        <f>0</f>
        <v>0</v>
      </c>
      <c r="V18" s="188">
        <f>U18+T18</f>
        <v>9108</v>
      </c>
      <c r="W18" s="188">
        <f>Configurations!$D$71/2</f>
        <v>1490.3999999999999</v>
      </c>
      <c r="X18" s="188">
        <f>0</f>
        <v>0</v>
      </c>
      <c r="Y18" s="188">
        <f>X18+W18</f>
        <v>1490.3999999999999</v>
      </c>
      <c r="Z18" s="188">
        <f>Configurations!$E$71/2</f>
        <v>2318.4</v>
      </c>
      <c r="AA18" s="189">
        <v>0</v>
      </c>
      <c r="AB18" s="188">
        <f>Z18-AA18</f>
        <v>2318.4</v>
      </c>
      <c r="AC18" s="189">
        <f>IF(S18&lt;0, 0,S18-AA18-X18-U18)</f>
        <v>0</v>
      </c>
      <c r="AD18" s="188">
        <f>AC18*Constants!$D$23</f>
        <v>0</v>
      </c>
      <c r="AE18" s="188">
        <f t="shared" ref="AE18:AE36" si="10">S18-AD18</f>
        <v>0</v>
      </c>
      <c r="AF18" s="190">
        <f>AE18*(1+Constants!$D$20)^-H18</f>
        <v>0</v>
      </c>
      <c r="AH18" s="172" t="s">
        <v>199</v>
      </c>
      <c r="AI18" s="191">
        <f>PMT(Constants!$D$21,5,-'Analysis (C)'!AI17)</f>
        <v>-507.91553470494244</v>
      </c>
    </row>
    <row r="19" spans="2:35" x14ac:dyDescent="0.3">
      <c r="D19" s="206"/>
      <c r="G19" s="207"/>
      <c r="H19" s="178">
        <v>1</v>
      </c>
      <c r="I19" s="192">
        <f>I18*(1-Constants!$D$11)</f>
        <v>0.995</v>
      </c>
      <c r="J19" s="179">
        <f>$E$18*(2-I19)</f>
        <v>1194.6813911615995</v>
      </c>
      <c r="K19" s="179">
        <f>$F$18*I19</f>
        <v>10943.549363681579</v>
      </c>
      <c r="L19" s="193">
        <f>IF(J19*'Grid Power'!K18&lt;0,0,J19*'Grid Power'!K18)</f>
        <v>145.51296281829875</v>
      </c>
      <c r="M19" s="194">
        <f>IF($C$20=5,Configurations!$F$58,IF('Analysis (C)'!$C$20=15,Configurations!$F$59,0))</f>
        <v>2323.7759771349743</v>
      </c>
      <c r="N19" s="194">
        <f>Configurations!$C$55*Constants!$D$63*1000</f>
        <v>100</v>
      </c>
      <c r="O19" s="194">
        <v>0</v>
      </c>
      <c r="P19" s="194">
        <f>K19*'Grid Power'!L18</f>
        <v>1116.2398354420991</v>
      </c>
      <c r="Q19" s="194">
        <v>0</v>
      </c>
      <c r="R19" s="193">
        <f>SUM(P19:Q19)-SUM(L19:O19)</f>
        <v>-1453.0491045111737</v>
      </c>
      <c r="S19" s="193">
        <f>R19+'Analysis (Nothing)'!D6</f>
        <v>-442.09888728541364</v>
      </c>
      <c r="T19" s="193">
        <f>Configurations!$C$71/2</f>
        <v>9108</v>
      </c>
      <c r="U19" s="193">
        <f>V18*Configurations!$C$72</f>
        <v>2732.4</v>
      </c>
      <c r="V19" s="193">
        <f>V18+T19-U19</f>
        <v>15483.6</v>
      </c>
      <c r="W19" s="193">
        <f>Configurations!$D$71/2</f>
        <v>1490.3999999999999</v>
      </c>
      <c r="X19" s="193">
        <f>Y18*Configurations!$D$72</f>
        <v>149.04</v>
      </c>
      <c r="Y19" s="193">
        <f>Y18+W19-X19</f>
        <v>2831.7599999999998</v>
      </c>
      <c r="Z19" s="193">
        <f>Configurations!$E$71/2</f>
        <v>2318.4</v>
      </c>
      <c r="AA19" s="193">
        <f>AB18*Configurations!$E$72</f>
        <v>463.68000000000006</v>
      </c>
      <c r="AB19" s="193">
        <f>AB18+Z19-AA19</f>
        <v>4173.12</v>
      </c>
      <c r="AC19" s="194">
        <f>IF(S19-AA19-X19-U19&lt;0, 0,S19-AA19-X19-U19)</f>
        <v>0</v>
      </c>
      <c r="AD19" s="193">
        <f>AC19*Constants!$D$23</f>
        <v>0</v>
      </c>
      <c r="AE19" s="193">
        <f t="shared" si="10"/>
        <v>-442.09888728541364</v>
      </c>
      <c r="AF19" s="195">
        <f>AE19*(1+Constants!$D$20)^-H19</f>
        <v>-433.43028165236632</v>
      </c>
    </row>
    <row r="20" spans="2:35" x14ac:dyDescent="0.3">
      <c r="B20" s="268" t="s">
        <v>256</v>
      </c>
      <c r="C20" s="168">
        <v>15</v>
      </c>
      <c r="H20" s="178">
        <v>2</v>
      </c>
      <c r="I20" s="192">
        <f>I19*(1-Constants!$D$11)</f>
        <v>0.99002500000000004</v>
      </c>
      <c r="J20" s="179">
        <f t="shared" ref="J20:J38" si="11">$E$18*(2-I20)</f>
        <v>1200.5953612322751</v>
      </c>
      <c r="K20" s="179">
        <f t="shared" ref="K20:K38" si="12">$F$18*I20</f>
        <v>10888.831616863172</v>
      </c>
      <c r="L20" s="193">
        <f>IF(J20*'Grid Power'!K19&lt;0,0,J20*'Grid Power'!K19)</f>
        <v>152.87003132659842</v>
      </c>
      <c r="M20" s="194">
        <f>IF($C$20=5,Configurations!$F$58,IF('Analysis (C)'!$C$20=15,Configurations!$F$59,0))</f>
        <v>2323.7759771349743</v>
      </c>
      <c r="N20" s="194">
        <f>N19*(1+Constants!$D$20)</f>
        <v>102</v>
      </c>
      <c r="O20" s="194">
        <v>0</v>
      </c>
      <c r="P20" s="194">
        <f>K20*'Grid Power'!L19</f>
        <v>1121.7652226275375</v>
      </c>
      <c r="Q20" s="194">
        <v>0</v>
      </c>
      <c r="R20" s="193">
        <f>SUM(P20:Q20)-SUM(L20:O20)</f>
        <v>-1456.8807858340354</v>
      </c>
      <c r="S20" s="193">
        <f>R20+'Analysis (Nothing)'!D7</f>
        <v>-400.04897073380653</v>
      </c>
      <c r="T20" s="193">
        <v>0</v>
      </c>
      <c r="U20" s="193">
        <f>V19*Configurations!$C$72</f>
        <v>4645.08</v>
      </c>
      <c r="V20" s="193">
        <f t="shared" ref="V20:V38" si="13">V19+T20-U20</f>
        <v>10838.52</v>
      </c>
      <c r="W20" s="193">
        <v>0</v>
      </c>
      <c r="X20" s="193">
        <f>Y19*Configurations!$D$72</f>
        <v>283.17599999999999</v>
      </c>
      <c r="Y20" s="193">
        <f t="shared" ref="Y20:Y38" si="14">Y19+W20-X20</f>
        <v>2548.5839999999998</v>
      </c>
      <c r="Z20" s="194">
        <v>0</v>
      </c>
      <c r="AA20" s="193">
        <f>AB19*Configurations!$E$72</f>
        <v>834.62400000000002</v>
      </c>
      <c r="AB20" s="193">
        <f t="shared" ref="AB20:AB38" si="15">AB19+Z20-AA20</f>
        <v>3338.4960000000001</v>
      </c>
      <c r="AC20" s="194">
        <f t="shared" ref="AC20:AC38" si="16">IF(S20-AA20-X20-U20&lt;0, 0,S20-AA20-X20-U20)</f>
        <v>0</v>
      </c>
      <c r="AD20" s="193">
        <f>AC20*Constants!$D$23</f>
        <v>0</v>
      </c>
      <c r="AE20" s="193">
        <f t="shared" si="10"/>
        <v>-400.04897073380653</v>
      </c>
      <c r="AF20" s="195">
        <f>AE20*(1+Constants!$D$20)^-H20</f>
        <v>-384.51458163572335</v>
      </c>
    </row>
    <row r="21" spans="2:35" x14ac:dyDescent="0.3">
      <c r="B21" s="268"/>
      <c r="C21" s="168" t="s">
        <v>257</v>
      </c>
      <c r="D21" s="206" t="s">
        <v>258</v>
      </c>
      <c r="H21" s="178">
        <v>3</v>
      </c>
      <c r="I21" s="192">
        <f>I20*(1-Constants!$D$11)</f>
        <v>0.98507487500000002</v>
      </c>
      <c r="J21" s="179">
        <f t="shared" si="11"/>
        <v>1206.4797614525976</v>
      </c>
      <c r="K21" s="179">
        <f t="shared" si="12"/>
        <v>10834.387458778856</v>
      </c>
      <c r="L21" s="193">
        <f>IF(J21*'Grid Power'!K20&lt;0,0,J21*'Grid Power'!K20)</f>
        <v>160.61053358370214</v>
      </c>
      <c r="M21" s="194">
        <f>IF($C$20=5,Configurations!$F$58,IF('Analysis (C)'!$C$20=15,Configurations!$F$59,0))</f>
        <v>2323.7759771349743</v>
      </c>
      <c r="N21" s="194">
        <f>N20*(1+Constants!$D$20)</f>
        <v>104.04</v>
      </c>
      <c r="O21" s="194">
        <v>0</v>
      </c>
      <c r="P21" s="194">
        <f>K21*'Grid Power'!L20</f>
        <v>1127.3179604795439</v>
      </c>
      <c r="Q21" s="194">
        <v>0</v>
      </c>
      <c r="R21" s="193">
        <f>SUM(P21:Q21)-SUM(L21:O21)</f>
        <v>-1461.1085502391327</v>
      </c>
      <c r="S21" s="193">
        <f>R21+'Analysis (Nothing)'!D8</f>
        <v>-356.18006676332652</v>
      </c>
      <c r="T21" s="193">
        <v>0</v>
      </c>
      <c r="U21" s="193">
        <f>V20*Configurations!$C$72</f>
        <v>3251.556</v>
      </c>
      <c r="V21" s="193">
        <f t="shared" si="13"/>
        <v>7586.9639999999999</v>
      </c>
      <c r="W21" s="193">
        <v>0</v>
      </c>
      <c r="X21" s="193">
        <f>Y20*Configurations!$D$72</f>
        <v>254.85839999999999</v>
      </c>
      <c r="Y21" s="193">
        <f t="shared" si="14"/>
        <v>2293.7255999999998</v>
      </c>
      <c r="Z21" s="194">
        <v>0</v>
      </c>
      <c r="AA21" s="193">
        <f>AB20*Configurations!$E$72</f>
        <v>667.69920000000002</v>
      </c>
      <c r="AB21" s="193">
        <f t="shared" si="15"/>
        <v>2670.7968000000001</v>
      </c>
      <c r="AC21" s="194">
        <f t="shared" si="16"/>
        <v>0</v>
      </c>
      <c r="AD21" s="193">
        <f>AC21*Constants!$D$23</f>
        <v>0</v>
      </c>
      <c r="AE21" s="193">
        <f t="shared" si="10"/>
        <v>-356.18006676332652</v>
      </c>
      <c r="AF21" s="195">
        <f>AE21*(1+Constants!$D$20)^-H21</f>
        <v>-335.63643203154004</v>
      </c>
    </row>
    <row r="22" spans="2:35" x14ac:dyDescent="0.3">
      <c r="B22" s="268"/>
      <c r="C22" s="168" t="s">
        <v>259</v>
      </c>
      <c r="D22" s="168" t="s">
        <v>261</v>
      </c>
      <c r="H22" s="178">
        <v>4</v>
      </c>
      <c r="I22" s="192">
        <f>I21*(1-Constants!$D$11)</f>
        <v>0.98014950062500006</v>
      </c>
      <c r="J22" s="179">
        <f t="shared" si="11"/>
        <v>1212.3347396718182</v>
      </c>
      <c r="K22" s="179">
        <f t="shared" si="12"/>
        <v>10780.215521484963</v>
      </c>
      <c r="L22" s="193">
        <f>IF(J22*'Grid Power'!K21&lt;0,0,J22*'Grid Power'!K21)</f>
        <v>168.75478659908939</v>
      </c>
      <c r="M22" s="194">
        <f>IF($C$20=5,Configurations!$F$58,IF('Analysis (C)'!$C$20=15,Configurations!$F$59,0))</f>
        <v>2323.7759771349743</v>
      </c>
      <c r="N22" s="194">
        <f>N21*(1+Constants!$D$20)</f>
        <v>106.1208</v>
      </c>
      <c r="O22" s="194">
        <v>0</v>
      </c>
      <c r="P22" s="194">
        <f>K22*'Grid Power'!L21</f>
        <v>1132.8981843839176</v>
      </c>
      <c r="Q22" s="194">
        <v>0</v>
      </c>
      <c r="R22" s="193">
        <f>SUM(P22:Q22)-SUM(L22:O22)</f>
        <v>-1465.7533793501464</v>
      </c>
      <c r="S22" s="193">
        <f>R22+'Analysis (Nothing)'!D9</f>
        <v>-310.40293600388782</v>
      </c>
      <c r="T22" s="193">
        <v>0</v>
      </c>
      <c r="U22" s="193">
        <f>V21*Configurations!$C$72</f>
        <v>2276.0891999999999</v>
      </c>
      <c r="V22" s="193">
        <f t="shared" si="13"/>
        <v>5310.8747999999996</v>
      </c>
      <c r="W22" s="193">
        <v>0</v>
      </c>
      <c r="X22" s="193">
        <f>Y21*Configurations!$D$72</f>
        <v>229.37255999999999</v>
      </c>
      <c r="Y22" s="193">
        <f t="shared" si="14"/>
        <v>2064.35304</v>
      </c>
      <c r="Z22" s="194">
        <v>0</v>
      </c>
      <c r="AA22" s="193">
        <f>AB21*Configurations!$E$72</f>
        <v>534.15935999999999</v>
      </c>
      <c r="AB22" s="193">
        <f t="shared" si="15"/>
        <v>2136.63744</v>
      </c>
      <c r="AC22" s="194">
        <f t="shared" si="16"/>
        <v>0</v>
      </c>
      <c r="AD22" s="193">
        <f>AC22*Constants!$D$23</f>
        <v>0</v>
      </c>
      <c r="AE22" s="193">
        <f t="shared" si="10"/>
        <v>-310.40293600388782</v>
      </c>
      <c r="AF22" s="195">
        <f>AE22*(1+Constants!$D$20)^-H22</f>
        <v>-286.76433265239257</v>
      </c>
    </row>
    <row r="23" spans="2:35" x14ac:dyDescent="0.3">
      <c r="B23" s="268"/>
      <c r="C23" s="168" t="s">
        <v>260</v>
      </c>
      <c r="D23" s="168" t="s">
        <v>262</v>
      </c>
      <c r="H23" s="178">
        <v>5</v>
      </c>
      <c r="I23" s="192">
        <f>I22*(1-Constants!$D$11)</f>
        <v>0.97524875312187509</v>
      </c>
      <c r="J23" s="179">
        <f t="shared" si="11"/>
        <v>1218.1604429999425</v>
      </c>
      <c r="K23" s="179">
        <f t="shared" si="12"/>
        <v>10726.314443877538</v>
      </c>
      <c r="L23" s="193">
        <f>IF(J23*'Grid Power'!K22&lt;0,0,J23*'Grid Power'!K22)</f>
        <v>177.32418925774044</v>
      </c>
      <c r="M23" s="194">
        <f>IF($C$20=5,Configurations!$F$58,IF('Analysis (C)'!$C$20=15,Configurations!$F$59,0))</f>
        <v>2323.7759771349743</v>
      </c>
      <c r="N23" s="194">
        <f>N22*(1+Constants!$D$20)</f>
        <v>108.243216</v>
      </c>
      <c r="O23" s="194">
        <v>0</v>
      </c>
      <c r="P23" s="194">
        <f>K23*'Grid Power'!L22</f>
        <v>1138.5060303966181</v>
      </c>
      <c r="Q23" s="194">
        <v>0</v>
      </c>
      <c r="R23" s="193">
        <f>SUM(P23:Q23)-SUM(L23:O23)</f>
        <v>-1470.8373519960962</v>
      </c>
      <c r="S23" s="193">
        <f>R23+'Analysis (Nothing)'!D10</f>
        <v>-262.62387546730224</v>
      </c>
      <c r="T23" s="193">
        <v>0</v>
      </c>
      <c r="U23" s="193">
        <f>V22*Configurations!$C$72</f>
        <v>1593.2624399999997</v>
      </c>
      <c r="V23" s="193">
        <f t="shared" si="13"/>
        <v>3717.6123600000001</v>
      </c>
      <c r="W23" s="193">
        <v>0</v>
      </c>
      <c r="X23" s="193">
        <f>Y22*Configurations!$D$72</f>
        <v>206.435304</v>
      </c>
      <c r="Y23" s="193">
        <f t="shared" si="14"/>
        <v>1857.9177359999999</v>
      </c>
      <c r="Z23" s="194">
        <v>0</v>
      </c>
      <c r="AA23" s="193">
        <f>AB22*Configurations!$E$72</f>
        <v>427.32748800000002</v>
      </c>
      <c r="AB23" s="193">
        <f t="shared" si="15"/>
        <v>1709.3099520000001</v>
      </c>
      <c r="AC23" s="194">
        <f t="shared" si="16"/>
        <v>0</v>
      </c>
      <c r="AD23" s="193">
        <f>AC23*Constants!$D$23</f>
        <v>0</v>
      </c>
      <c r="AE23" s="193">
        <f t="shared" si="10"/>
        <v>-262.62387546730224</v>
      </c>
      <c r="AF23" s="195">
        <f>AE23*(1+Constants!$D$20)^-H23</f>
        <v>-237.86653540767065</v>
      </c>
    </row>
    <row r="24" spans="2:35" x14ac:dyDescent="0.3">
      <c r="H24" s="178">
        <v>6</v>
      </c>
      <c r="I24" s="192">
        <f>I23*(1-Constants!$D$11)</f>
        <v>0.97037250935626573</v>
      </c>
      <c r="J24" s="179">
        <f t="shared" si="11"/>
        <v>1223.9570178114263</v>
      </c>
      <c r="K24" s="179">
        <f t="shared" si="12"/>
        <v>10672.682871658149</v>
      </c>
      <c r="L24" s="193">
        <f>IF(J24*'Grid Power'!K23&lt;0,0,J24*'Grid Power'!K23)</f>
        <v>186.34127986554381</v>
      </c>
      <c r="M24" s="194">
        <f>IF($C$20=15,Configurations!$F$59,0)</f>
        <v>2323.7759771349743</v>
      </c>
      <c r="N24" s="194">
        <f>N23*(1+Constants!$D$20)</f>
        <v>110.40808032000001</v>
      </c>
      <c r="O24" s="194">
        <v>0</v>
      </c>
      <c r="P24" s="194">
        <f>K24*'Grid Power'!L23</f>
        <v>1144.1416352470812</v>
      </c>
      <c r="Q24" s="194">
        <v>0</v>
      </c>
      <c r="R24" s="193">
        <f>SUM(P24:Q24)-SUM(L24:O24)</f>
        <v>-1476.383702073437</v>
      </c>
      <c r="S24" s="193">
        <f>R24+'Analysis (Nothing)'!D11</f>
        <v>-212.74449413721709</v>
      </c>
      <c r="T24" s="193">
        <v>0</v>
      </c>
      <c r="U24" s="193">
        <f>V23*Configurations!$C$72</f>
        <v>1115.2837079999999</v>
      </c>
      <c r="V24" s="193">
        <f t="shared" si="13"/>
        <v>2602.3286520000001</v>
      </c>
      <c r="W24" s="193">
        <v>0</v>
      </c>
      <c r="X24" s="193">
        <f>Y23*Configurations!$D$72</f>
        <v>185.7917736</v>
      </c>
      <c r="Y24" s="193">
        <f t="shared" si="14"/>
        <v>1672.1259623999999</v>
      </c>
      <c r="Z24" s="194">
        <v>0</v>
      </c>
      <c r="AA24" s="193">
        <f>AB23*Configurations!$E$72</f>
        <v>341.86199040000002</v>
      </c>
      <c r="AB24" s="193">
        <f t="shared" si="15"/>
        <v>1367.4479616000001</v>
      </c>
      <c r="AC24" s="194">
        <f t="shared" si="16"/>
        <v>0</v>
      </c>
      <c r="AD24" s="193">
        <f>AC24*Constants!$D$23</f>
        <v>0</v>
      </c>
      <c r="AE24" s="193">
        <f t="shared" si="10"/>
        <v>-212.74449413721709</v>
      </c>
      <c r="AF24" s="195">
        <f>AE24*(1+Constants!$D$20)^-H24</f>
        <v>-188.91102251152688</v>
      </c>
    </row>
    <row r="25" spans="2:35" x14ac:dyDescent="0.3">
      <c r="H25" s="178">
        <v>7</v>
      </c>
      <c r="I25" s="192">
        <f>I24*(1-Constants!$D$11)</f>
        <v>0.96552064680948435</v>
      </c>
      <c r="J25" s="179">
        <f t="shared" si="11"/>
        <v>1229.7246097488528</v>
      </c>
      <c r="K25" s="179">
        <f t="shared" si="12"/>
        <v>10619.319457299858</v>
      </c>
      <c r="L25" s="193">
        <f>IF(J25*'Grid Power'!K24&lt;0,0,J25*'Grid Power'!K24)</f>
        <v>195.82979674473467</v>
      </c>
      <c r="M25" s="194">
        <f>IF($C$20=15,Configurations!$F$59,0)</f>
        <v>2323.7759771349743</v>
      </c>
      <c r="N25" s="194">
        <f>N24*(1+Constants!$D$20)</f>
        <v>112.61624192640001</v>
      </c>
      <c r="O25" s="194">
        <v>0</v>
      </c>
      <c r="P25" s="194">
        <f>K25*'Grid Power'!L24</f>
        <v>1149.8051363415543</v>
      </c>
      <c r="Q25" s="194">
        <v>0</v>
      </c>
      <c r="R25" s="193">
        <f>SUM(P25:Q25)-SUM(L25:O25)</f>
        <v>-1482.4168794645548</v>
      </c>
      <c r="S25" s="193">
        <f>R25+'Analysis (Nothing)'!D12</f>
        <v>-160.66147724883194</v>
      </c>
      <c r="T25" s="193">
        <v>0</v>
      </c>
      <c r="U25" s="193">
        <f>V24*Configurations!$C$72</f>
        <v>780.69859559999998</v>
      </c>
      <c r="V25" s="193">
        <f t="shared" si="13"/>
        <v>1821.6300564000003</v>
      </c>
      <c r="W25" s="193">
        <v>0</v>
      </c>
      <c r="X25" s="193">
        <f>Y24*Configurations!$D$72</f>
        <v>167.21259624000001</v>
      </c>
      <c r="Y25" s="193">
        <f t="shared" si="14"/>
        <v>1504.9133661599999</v>
      </c>
      <c r="Z25" s="194">
        <v>0</v>
      </c>
      <c r="AA25" s="193">
        <f>AB24*Configurations!$E$72</f>
        <v>273.48959232000004</v>
      </c>
      <c r="AB25" s="193">
        <f t="shared" si="15"/>
        <v>1093.9583692800002</v>
      </c>
      <c r="AC25" s="194">
        <f t="shared" si="16"/>
        <v>0</v>
      </c>
      <c r="AD25" s="193">
        <f>AC25*Constants!$D$23</f>
        <v>0</v>
      </c>
      <c r="AE25" s="193">
        <f t="shared" si="10"/>
        <v>-160.66147724883194</v>
      </c>
      <c r="AF25" s="195">
        <f>AE25*(1+Constants!$D$20)^-H25</f>
        <v>-139.86548433011839</v>
      </c>
    </row>
    <row r="26" spans="2:35" x14ac:dyDescent="0.3">
      <c r="H26" s="178">
        <v>8</v>
      </c>
      <c r="I26" s="192">
        <f>I25*(1-Constants!$D$11)</f>
        <v>0.96069304357543694</v>
      </c>
      <c r="J26" s="179">
        <f t="shared" si="11"/>
        <v>1235.463363726592</v>
      </c>
      <c r="K26" s="179">
        <f t="shared" si="12"/>
        <v>10566.22286001336</v>
      </c>
      <c r="L26" s="193">
        <f>IF(J26*'Grid Power'!K25&lt;0,0,J26*'Grid Power'!K25)</f>
        <v>205.8147420403474</v>
      </c>
      <c r="M26" s="194">
        <f>IF($C$20=15,Configurations!$F$59,0)</f>
        <v>2323.7759771349743</v>
      </c>
      <c r="N26" s="194">
        <f>N25*(1+Constants!$D$20)</f>
        <v>114.868566764928</v>
      </c>
      <c r="O26" s="194">
        <v>0</v>
      </c>
      <c r="P26" s="194">
        <f>K26*'Grid Power'!L25</f>
        <v>1155.4966717664452</v>
      </c>
      <c r="Q26" s="194">
        <v>0</v>
      </c>
      <c r="R26" s="193">
        <f>SUM(P26:Q26)-SUM(L26:O26)</f>
        <v>-1488.9626141738045</v>
      </c>
      <c r="S26" s="193">
        <f>R26+'Analysis (Nothing)'!D13</f>
        <v>-106.26633868747967</v>
      </c>
      <c r="T26" s="193">
        <v>0</v>
      </c>
      <c r="U26" s="193">
        <f>V25*Configurations!$C$72</f>
        <v>546.48901692000004</v>
      </c>
      <c r="V26" s="193">
        <f t="shared" si="13"/>
        <v>1275.1410394800002</v>
      </c>
      <c r="W26" s="193">
        <v>0</v>
      </c>
      <c r="X26" s="193">
        <f>Y25*Configurations!$D$72</f>
        <v>150.49133661599998</v>
      </c>
      <c r="Y26" s="193">
        <f t="shared" si="14"/>
        <v>1354.422029544</v>
      </c>
      <c r="Z26" s="194">
        <v>0</v>
      </c>
      <c r="AA26" s="193">
        <f>AB25*Configurations!$E$72</f>
        <v>218.79167385600005</v>
      </c>
      <c r="AB26" s="193">
        <f t="shared" si="15"/>
        <v>875.16669542400018</v>
      </c>
      <c r="AC26" s="194">
        <f t="shared" si="16"/>
        <v>0</v>
      </c>
      <c r="AD26" s="193">
        <f>AC26*Constants!$D$23</f>
        <v>0</v>
      </c>
      <c r="AE26" s="193">
        <f t="shared" si="10"/>
        <v>-106.26633868747967</v>
      </c>
      <c r="AF26" s="195">
        <f>AE26*(1+Constants!$D$20)^-H26</f>
        <v>-90.697296851391144</v>
      </c>
    </row>
    <row r="27" spans="2:35" x14ac:dyDescent="0.3">
      <c r="H27" s="178">
        <v>9</v>
      </c>
      <c r="I27" s="192">
        <f>I26*(1-Constants!$D$11)</f>
        <v>0.95588957835755972</v>
      </c>
      <c r="J27" s="179">
        <f t="shared" si="11"/>
        <v>1241.173423934443</v>
      </c>
      <c r="K27" s="179">
        <f t="shared" si="12"/>
        <v>10513.391745713292</v>
      </c>
      <c r="L27" s="193">
        <f>IF(J27*'Grid Power'!K26&lt;0,0,J27*'Grid Power'!K26)</f>
        <v>216.3224489071288</v>
      </c>
      <c r="M27" s="194">
        <f>IF($C$20=15,Configurations!$F$59,0)</f>
        <v>2323.7759771349743</v>
      </c>
      <c r="N27" s="194">
        <f>N26*(1+Constants!$D$20)</f>
        <v>117.16593810022657</v>
      </c>
      <c r="O27" s="194">
        <v>0</v>
      </c>
      <c r="P27" s="194">
        <f>K27*'Grid Power'!L26</f>
        <v>1161.2163802916889</v>
      </c>
      <c r="Q27" s="194">
        <v>0</v>
      </c>
      <c r="R27" s="193">
        <f>SUM(P27:Q27)-SUM(L27:O27)</f>
        <v>-1496.0479838506408</v>
      </c>
      <c r="S27" s="193">
        <f>R27+'Analysis (Nothing)'!D14</f>
        <v>-49.445160906245746</v>
      </c>
      <c r="T27" s="193">
        <v>0</v>
      </c>
      <c r="U27" s="193">
        <f>V26*Configurations!$C$72</f>
        <v>382.54231184400004</v>
      </c>
      <c r="V27" s="193">
        <f t="shared" si="13"/>
        <v>892.59872763600015</v>
      </c>
      <c r="W27" s="193">
        <v>0</v>
      </c>
      <c r="X27" s="193">
        <f>Y26*Configurations!$D$72</f>
        <v>135.44220295440002</v>
      </c>
      <c r="Y27" s="193">
        <f t="shared" si="14"/>
        <v>1218.9798265896</v>
      </c>
      <c r="Z27" s="194">
        <v>0</v>
      </c>
      <c r="AA27" s="193">
        <f>AB26*Configurations!$E$72</f>
        <v>175.03333908480005</v>
      </c>
      <c r="AB27" s="193">
        <f t="shared" si="15"/>
        <v>700.13335633920019</v>
      </c>
      <c r="AC27" s="194">
        <f t="shared" si="16"/>
        <v>0</v>
      </c>
      <c r="AD27" s="193">
        <f>AC27*Constants!$D$23</f>
        <v>0</v>
      </c>
      <c r="AE27" s="193">
        <f t="shared" si="10"/>
        <v>-49.445160906245746</v>
      </c>
      <c r="AF27" s="195">
        <f>AE27*(1+Constants!$D$20)^-H27</f>
        <v>-41.373498760222041</v>
      </c>
    </row>
    <row r="28" spans="2:35" x14ac:dyDescent="0.3">
      <c r="H28" s="178">
        <v>10</v>
      </c>
      <c r="I28" s="192">
        <f>I27*(1-Constants!$D$11)</f>
        <v>0.95111013046577186</v>
      </c>
      <c r="J28" s="179">
        <f t="shared" si="11"/>
        <v>1246.8549338412543</v>
      </c>
      <c r="K28" s="179">
        <f t="shared" si="12"/>
        <v>10460.824786984726</v>
      </c>
      <c r="L28" s="193">
        <f>IF(J28*'Grid Power'!K27&lt;0,0,J28*'Grid Power'!K27)</f>
        <v>227.380652255261</v>
      </c>
      <c r="M28" s="194">
        <f>IF($C$20=15,Configurations!$F$59,0)</f>
        <v>2323.7759771349743</v>
      </c>
      <c r="N28" s="194">
        <f>N27*(1+Constants!$D$20)</f>
        <v>119.5092568622311</v>
      </c>
      <c r="O28" s="194">
        <f>Configurations!$D$63+Configurations!$D$65</f>
        <v>11260.8</v>
      </c>
      <c r="P28" s="194">
        <f>K28*'Grid Power'!L27</f>
        <v>1166.9644013741329</v>
      </c>
      <c r="Q28" s="194">
        <v>0</v>
      </c>
      <c r="R28" s="193">
        <f>SUM(P28:Q28)-SUM(L28:O28)</f>
        <v>-12764.501484878334</v>
      </c>
      <c r="S28" s="193">
        <f>R28+'Analysis (Nothing)'!D15</f>
        <v>-11250.878321732525</v>
      </c>
      <c r="T28" s="193">
        <f>Configurations!$D$63/2</f>
        <v>3312</v>
      </c>
      <c r="U28" s="193">
        <f>V27*Configurations!$C$72</f>
        <v>267.77961829080004</v>
      </c>
      <c r="V28" s="193">
        <f t="shared" si="13"/>
        <v>3936.8191093452001</v>
      </c>
      <c r="W28" s="193">
        <v>0</v>
      </c>
      <c r="X28" s="193">
        <f>Y27*Configurations!$D$72</f>
        <v>121.89798265896</v>
      </c>
      <c r="Y28" s="193">
        <f t="shared" si="14"/>
        <v>1097.0818439306399</v>
      </c>
      <c r="Z28" s="194">
        <f>Configurations!$D$65/2</f>
        <v>2318.4</v>
      </c>
      <c r="AA28" s="193">
        <f>AB27*Configurations!$E$72</f>
        <v>140.02667126784004</v>
      </c>
      <c r="AB28" s="193">
        <f t="shared" si="15"/>
        <v>2878.5066850713606</v>
      </c>
      <c r="AC28" s="194">
        <f t="shared" si="16"/>
        <v>0</v>
      </c>
      <c r="AD28" s="193">
        <f>AC28*Constants!$D$23</f>
        <v>0</v>
      </c>
      <c r="AE28" s="193">
        <f t="shared" si="10"/>
        <v>-11250.878321732525</v>
      </c>
      <c r="AF28" s="195">
        <f>AE28*(1+Constants!$D$20)^-H28</f>
        <v>-9229.638903335519</v>
      </c>
    </row>
    <row r="29" spans="2:35" x14ac:dyDescent="0.3">
      <c r="H29" s="178">
        <v>11</v>
      </c>
      <c r="I29" s="192">
        <f>I28*(1-Constants!$D$11)</f>
        <v>0.94635457981344295</v>
      </c>
      <c r="J29" s="179">
        <f t="shared" si="11"/>
        <v>1252.5080361985317</v>
      </c>
      <c r="K29" s="179">
        <f t="shared" si="12"/>
        <v>10408.520663049801</v>
      </c>
      <c r="L29" s="193">
        <f>IF(J29*'Grid Power'!K28&lt;0,0,J29*'Grid Power'!K28)</f>
        <v>239.01856324262081</v>
      </c>
      <c r="M29" s="194">
        <f>IF($C$20=15,Configurations!$F$59,0)</f>
        <v>2323.7759771349743</v>
      </c>
      <c r="N29" s="194">
        <f>N28*(1+Constants!$D$20)</f>
        <v>121.89944199947573</v>
      </c>
      <c r="O29" s="194">
        <v>0</v>
      </c>
      <c r="P29" s="194">
        <f>K29*'Grid Power'!L28</f>
        <v>1172.7408751609346</v>
      </c>
      <c r="Q29" s="194">
        <v>0</v>
      </c>
      <c r="R29" s="193">
        <f>SUM(P29:Q29)-SUM(L29:O29)</f>
        <v>-1511.9531072161362</v>
      </c>
      <c r="S29" s="193">
        <f>R29+'Analysis (Nothing)'!D16</f>
        <v>71.959792598444892</v>
      </c>
      <c r="T29" s="193">
        <f>Configurations!$D$63/2</f>
        <v>3312</v>
      </c>
      <c r="U29" s="193">
        <f>V28*Configurations!$C$72</f>
        <v>1181.04573280356</v>
      </c>
      <c r="V29" s="193">
        <f t="shared" si="13"/>
        <v>6067.7733765416406</v>
      </c>
      <c r="W29" s="193">
        <v>0</v>
      </c>
      <c r="X29" s="193">
        <f>Y28*Configurations!$D$72</f>
        <v>109.708184393064</v>
      </c>
      <c r="Y29" s="193">
        <f t="shared" si="14"/>
        <v>987.37365953757592</v>
      </c>
      <c r="Z29" s="194">
        <f>Configurations!$D$65/2</f>
        <v>2318.4</v>
      </c>
      <c r="AA29" s="193">
        <f>AB28*Configurations!$E$72</f>
        <v>575.7013370142721</v>
      </c>
      <c r="AB29" s="193">
        <f t="shared" si="15"/>
        <v>4621.2053480570885</v>
      </c>
      <c r="AC29" s="194">
        <f t="shared" si="16"/>
        <v>0</v>
      </c>
      <c r="AD29" s="193">
        <f>AC29*Constants!$D$23</f>
        <v>0</v>
      </c>
      <c r="AE29" s="193">
        <f t="shared" si="10"/>
        <v>71.959792598444892</v>
      </c>
      <c r="AF29" s="195">
        <f>AE29*(1+Constants!$D$20)^-H29</f>
        <v>57.874601487748102</v>
      </c>
    </row>
    <row r="30" spans="2:35" x14ac:dyDescent="0.3">
      <c r="H30" s="178">
        <v>12</v>
      </c>
      <c r="I30" s="192">
        <f>I29*(1-Constants!$D$11)</f>
        <v>0.94162280691437572</v>
      </c>
      <c r="J30" s="179">
        <f t="shared" si="11"/>
        <v>1258.1328730440225</v>
      </c>
      <c r="K30" s="179">
        <f t="shared" si="12"/>
        <v>10356.478059734553</v>
      </c>
      <c r="L30" s="193">
        <f>IF(J30*'Grid Power'!K29&lt;0,0,J30*'Grid Power'!K29)</f>
        <v>251.26694771115748</v>
      </c>
      <c r="M30" s="194">
        <f>IF($C$20=15,Configurations!$F$59,0)</f>
        <v>2323.7759771349743</v>
      </c>
      <c r="N30" s="194">
        <f>N29*(1+Constants!$D$20)</f>
        <v>124.33743083946524</v>
      </c>
      <c r="O30" s="194">
        <v>0</v>
      </c>
      <c r="P30" s="194">
        <f>K30*'Grid Power'!L29</f>
        <v>1178.5459424929813</v>
      </c>
      <c r="Q30" s="194">
        <v>0</v>
      </c>
      <c r="R30" s="193">
        <f>SUM(P30:Q30)-SUM(L30:O30)</f>
        <v>-1520.834413192616</v>
      </c>
      <c r="S30" s="193">
        <f>R30+'Analysis (Nothing)'!D17</f>
        <v>136.80108887850929</v>
      </c>
      <c r="T30" s="193">
        <v>0</v>
      </c>
      <c r="U30" s="193">
        <f>V29*Configurations!$C$72</f>
        <v>1820.3320129624922</v>
      </c>
      <c r="V30" s="193">
        <f t="shared" si="13"/>
        <v>4247.4413635791479</v>
      </c>
      <c r="W30" s="193">
        <v>0</v>
      </c>
      <c r="X30" s="193">
        <f>Y29*Configurations!$D$72</f>
        <v>98.737365953757603</v>
      </c>
      <c r="Y30" s="193">
        <f t="shared" si="14"/>
        <v>888.63629358381831</v>
      </c>
      <c r="Z30" s="194">
        <v>0</v>
      </c>
      <c r="AA30" s="193">
        <f>AB29*Configurations!$E$72</f>
        <v>924.24106961141774</v>
      </c>
      <c r="AB30" s="193">
        <f t="shared" si="15"/>
        <v>3696.964278445671</v>
      </c>
      <c r="AC30" s="194">
        <f t="shared" si="16"/>
        <v>0</v>
      </c>
      <c r="AD30" s="193">
        <f>AC30*Constants!$D$23</f>
        <v>0</v>
      </c>
      <c r="AE30" s="193">
        <f t="shared" si="10"/>
        <v>136.80108887850929</v>
      </c>
      <c r="AF30" s="195">
        <f>AE30*(1+Constants!$D$20)^-H30</f>
        <v>107.86672499284421</v>
      </c>
    </row>
    <row r="31" spans="2:35" x14ac:dyDescent="0.3">
      <c r="H31" s="178">
        <v>13</v>
      </c>
      <c r="I31" s="192">
        <f>I30*(1-Constants!$D$11)</f>
        <v>0.93691469287980389</v>
      </c>
      <c r="J31" s="179">
        <f t="shared" si="11"/>
        <v>1263.7295857052859</v>
      </c>
      <c r="K31" s="179">
        <f t="shared" si="12"/>
        <v>10304.69566943588</v>
      </c>
      <c r="L31" s="193">
        <f>IF(J31*'Grid Power'!K30&lt;0,0,J31*'Grid Power'!K30)</f>
        <v>264.15820877535612</v>
      </c>
      <c r="M31" s="194">
        <f>IF($C$20=15,Configurations!$F$59,0)</f>
        <v>2323.7759771349743</v>
      </c>
      <c r="N31" s="194">
        <f>N30*(1+Constants!$D$20)</f>
        <v>126.82417945625456</v>
      </c>
      <c r="O31" s="194">
        <v>0</v>
      </c>
      <c r="P31" s="194">
        <f>K31*'Grid Power'!L30</f>
        <v>1184.3797449083215</v>
      </c>
      <c r="Q31" s="194">
        <v>0</v>
      </c>
      <c r="R31" s="193">
        <f>SUM(P31:Q31)-SUM(L31:O31)</f>
        <v>-1530.3786204582636</v>
      </c>
      <c r="S31" s="193">
        <f>R31+'Analysis (Nothing)'!D18</f>
        <v>204.58408356054133</v>
      </c>
      <c r="T31" s="193">
        <v>0</v>
      </c>
      <c r="U31" s="193">
        <f>V30*Configurations!$C$72</f>
        <v>1274.2324090737443</v>
      </c>
      <c r="V31" s="193">
        <f t="shared" si="13"/>
        <v>2973.2089545054037</v>
      </c>
      <c r="W31" s="193">
        <v>0</v>
      </c>
      <c r="X31" s="193">
        <f>Y30*Configurations!$D$72</f>
        <v>88.863629358381843</v>
      </c>
      <c r="Y31" s="193">
        <f t="shared" si="14"/>
        <v>799.77266422543653</v>
      </c>
      <c r="Z31" s="194">
        <v>0</v>
      </c>
      <c r="AA31" s="193">
        <f>AB30*Configurations!$E$72</f>
        <v>739.39285568913419</v>
      </c>
      <c r="AB31" s="193">
        <f t="shared" si="15"/>
        <v>2957.5714227565368</v>
      </c>
      <c r="AC31" s="194">
        <f t="shared" si="16"/>
        <v>0</v>
      </c>
      <c r="AD31" s="193">
        <f>AC31*Constants!$D$23</f>
        <v>0</v>
      </c>
      <c r="AE31" s="193">
        <f t="shared" si="10"/>
        <v>204.58408356054133</v>
      </c>
      <c r="AF31" s="195">
        <f>AE31*(1+Constants!$D$20)^-H31</f>
        <v>158.15015070599432</v>
      </c>
    </row>
    <row r="32" spans="2:35" x14ac:dyDescent="0.3">
      <c r="H32" s="178">
        <v>14</v>
      </c>
      <c r="I32" s="192">
        <f>I31*(1-Constants!$D$11)</f>
        <v>0.9322301194154049</v>
      </c>
      <c r="J32" s="179">
        <f t="shared" si="11"/>
        <v>1269.2983148032433</v>
      </c>
      <c r="K32" s="179">
        <f t="shared" si="12"/>
        <v>10253.172191088701</v>
      </c>
      <c r="L32" s="193">
        <f>IF(J32*'Grid Power'!K31&lt;0,0,J32*'Grid Power'!K31)</f>
        <v>277.72647378167301</v>
      </c>
      <c r="M32" s="194">
        <f>IF($C$20=15,Configurations!$F$59,0)</f>
        <v>2323.7759771349743</v>
      </c>
      <c r="N32" s="194">
        <f>N31*(1+Constants!$D$20)</f>
        <v>129.36066304537965</v>
      </c>
      <c r="O32" s="194">
        <v>0</v>
      </c>
      <c r="P32" s="194">
        <f>K32*'Grid Power'!L31</f>
        <v>1190.2424246456178</v>
      </c>
      <c r="Q32" s="194">
        <v>0</v>
      </c>
      <c r="R32" s="193">
        <f>SUM(P32:Q32)-SUM(L32:O32)</f>
        <v>-1540.6206893164092</v>
      </c>
      <c r="S32" s="193">
        <f>R32+'Analysis (Nothing)'!D19</f>
        <v>275.45423535893201</v>
      </c>
      <c r="T32" s="193">
        <v>0</v>
      </c>
      <c r="U32" s="193">
        <f>V31*Configurations!$C$72</f>
        <v>891.96268635162107</v>
      </c>
      <c r="V32" s="193">
        <f t="shared" si="13"/>
        <v>2081.2462681537827</v>
      </c>
      <c r="W32" s="193">
        <v>0</v>
      </c>
      <c r="X32" s="193">
        <f>Y31*Configurations!$D$72</f>
        <v>79.977266422543664</v>
      </c>
      <c r="Y32" s="193">
        <f t="shared" si="14"/>
        <v>719.79539780289292</v>
      </c>
      <c r="Z32" s="194">
        <v>0</v>
      </c>
      <c r="AA32" s="193">
        <f>AB31*Configurations!$E$72</f>
        <v>591.51428455130736</v>
      </c>
      <c r="AB32" s="193">
        <f t="shared" si="15"/>
        <v>2366.0571382052294</v>
      </c>
      <c r="AC32" s="194">
        <f t="shared" si="16"/>
        <v>0</v>
      </c>
      <c r="AD32" s="193">
        <f>AC32*Constants!$D$23</f>
        <v>0</v>
      </c>
      <c r="AE32" s="193">
        <f t="shared" si="10"/>
        <v>275.45423535893201</v>
      </c>
      <c r="AF32" s="195">
        <f>AE32*(1+Constants!$D$20)^-H32</f>
        <v>208.75988539559907</v>
      </c>
    </row>
    <row r="33" spans="8:35" x14ac:dyDescent="0.3">
      <c r="H33" s="178">
        <v>15</v>
      </c>
      <c r="I33" s="192">
        <f>I32*(1-Constants!$D$11)</f>
        <v>0.92756896881832784</v>
      </c>
      <c r="J33" s="179">
        <f t="shared" si="11"/>
        <v>1274.8392002557107</v>
      </c>
      <c r="K33" s="179">
        <f t="shared" si="12"/>
        <v>10201.906330133257</v>
      </c>
      <c r="L33" s="193">
        <f>IF(J33*'Grid Power'!K32&lt;0,0,J33*'Grid Power'!K32)</f>
        <v>292.00768586932247</v>
      </c>
      <c r="M33" s="194">
        <f>IF($C$20=15,Configurations!$F$59,0)</f>
        <v>2323.7759771349743</v>
      </c>
      <c r="N33" s="194">
        <f>N32*(1+Constants!$D$20)</f>
        <v>131.94787630628724</v>
      </c>
      <c r="O33" s="194">
        <v>0</v>
      </c>
      <c r="P33" s="194">
        <f>K33*'Grid Power'!L32</f>
        <v>1196.1341246476136</v>
      </c>
      <c r="Q33" s="194">
        <v>0</v>
      </c>
      <c r="R33" s="193">
        <f>SUM(P33:Q33)-SUM(L33:O33)</f>
        <v>-1551.5974146629701</v>
      </c>
      <c r="S33" s="193">
        <f>R33+'Analysis (Nothing)'!D20</f>
        <v>349.5642946229259</v>
      </c>
      <c r="T33" s="193">
        <v>0</v>
      </c>
      <c r="U33" s="193">
        <f>V32*Configurations!$C$72</f>
        <v>624.37388044613476</v>
      </c>
      <c r="V33" s="193">
        <f t="shared" si="13"/>
        <v>1456.8723877076479</v>
      </c>
      <c r="W33" s="193">
        <v>0</v>
      </c>
      <c r="X33" s="193">
        <f>Y32*Configurations!$D$72</f>
        <v>71.979539780289301</v>
      </c>
      <c r="Y33" s="193">
        <f t="shared" si="14"/>
        <v>647.81585802260361</v>
      </c>
      <c r="Z33" s="194">
        <v>0</v>
      </c>
      <c r="AA33" s="193">
        <f>AB32*Configurations!$E$72</f>
        <v>473.21142764104593</v>
      </c>
      <c r="AB33" s="193">
        <f t="shared" si="15"/>
        <v>1892.8457105641835</v>
      </c>
      <c r="AC33" s="194">
        <f t="shared" si="16"/>
        <v>0</v>
      </c>
      <c r="AD33" s="193">
        <f>AC33*Constants!$D$23</f>
        <v>0</v>
      </c>
      <c r="AE33" s="193">
        <f t="shared" si="10"/>
        <v>349.5642946229259</v>
      </c>
      <c r="AF33" s="195">
        <f>AE33*(1+Constants!$D$20)^-H33</f>
        <v>259.73141998288048</v>
      </c>
    </row>
    <row r="34" spans="8:35" x14ac:dyDescent="0.3">
      <c r="H34" s="178">
        <v>16</v>
      </c>
      <c r="I34" s="192">
        <f>I33*(1-Constants!$D$11)</f>
        <v>0.92293112397423616</v>
      </c>
      <c r="J34" s="179">
        <f t="shared" si="11"/>
        <v>1280.3523812809156</v>
      </c>
      <c r="K34" s="179">
        <f t="shared" si="12"/>
        <v>10150.89679848259</v>
      </c>
      <c r="L34" s="193">
        <f>IF(J34*'Grid Power'!K33&lt;0,0,J34*'Grid Power'!K33)</f>
        <v>307.03970037489148</v>
      </c>
      <c r="M34" s="194">
        <v>0</v>
      </c>
      <c r="N34" s="194">
        <f>N33*(1+Constants!$D$20)</f>
        <v>134.58683383241299</v>
      </c>
      <c r="O34" s="194">
        <v>0</v>
      </c>
      <c r="P34" s="194">
        <f>K34*'Grid Power'!L33</f>
        <v>1202.0549885646192</v>
      </c>
      <c r="Q34" s="194">
        <v>0</v>
      </c>
      <c r="R34" s="193">
        <f>SUM(P34:Q34)-SUM(L34:O34)</f>
        <v>760.42845435731465</v>
      </c>
      <c r="S34" s="193">
        <f>R34+'Analysis (Nothing)'!D21</f>
        <v>2750.8506474648493</v>
      </c>
      <c r="T34" s="193">
        <v>0</v>
      </c>
      <c r="U34" s="193">
        <f>V33*Configurations!$C$72</f>
        <v>437.06171631229438</v>
      </c>
      <c r="V34" s="193">
        <f t="shared" si="13"/>
        <v>1019.8106713953536</v>
      </c>
      <c r="W34" s="193">
        <v>0</v>
      </c>
      <c r="X34" s="193">
        <f>Y33*Configurations!$D$72</f>
        <v>64.781585802260366</v>
      </c>
      <c r="Y34" s="193">
        <f t="shared" si="14"/>
        <v>583.03427222034327</v>
      </c>
      <c r="Z34" s="194">
        <v>0</v>
      </c>
      <c r="AA34" s="193">
        <f>AB33*Configurations!$E$72</f>
        <v>378.56914211283674</v>
      </c>
      <c r="AB34" s="193">
        <f t="shared" si="15"/>
        <v>1514.2765684513467</v>
      </c>
      <c r="AC34" s="194">
        <f t="shared" si="16"/>
        <v>1870.4382032374579</v>
      </c>
      <c r="AD34" s="193">
        <f>AC34*Constants!$D$23</f>
        <v>187.04382032374579</v>
      </c>
      <c r="AE34" s="193">
        <f t="shared" si="10"/>
        <v>2563.8068271411034</v>
      </c>
      <c r="AF34" s="195">
        <f>AE34*(1+Constants!$D$20)^-H34</f>
        <v>1867.5943504029108</v>
      </c>
    </row>
    <row r="35" spans="8:35" x14ac:dyDescent="0.3">
      <c r="H35" s="178">
        <v>17</v>
      </c>
      <c r="I35" s="192">
        <f>I34*(1-Constants!$D$11)</f>
        <v>0.91831646835436498</v>
      </c>
      <c r="J35" s="179">
        <f t="shared" si="11"/>
        <v>1285.8379964009946</v>
      </c>
      <c r="K35" s="179">
        <f t="shared" si="12"/>
        <v>10100.142314490176</v>
      </c>
      <c r="L35" s="193">
        <f>IF(J35*'Grid Power'!K34&lt;0,0,J35*'Grid Power'!K34)</f>
        <v>322.86238633598634</v>
      </c>
      <c r="M35" s="194">
        <v>0</v>
      </c>
      <c r="N35" s="194">
        <f>N34*(1+Constants!$D$20)</f>
        <v>137.27857050906127</v>
      </c>
      <c r="O35" s="194">
        <v>0</v>
      </c>
      <c r="P35" s="194">
        <f>K35*'Grid Power'!L34</f>
        <v>1208.005160758014</v>
      </c>
      <c r="Q35" s="194">
        <v>0</v>
      </c>
      <c r="R35" s="193">
        <f>SUM(P35:Q35)-SUM(L35:O35)</f>
        <v>747.86420391296633</v>
      </c>
      <c r="S35" s="193">
        <f>R35+'Analysis (Nothing)'!D22</f>
        <v>2831.9297927233015</v>
      </c>
      <c r="T35" s="193">
        <v>0</v>
      </c>
      <c r="U35" s="193">
        <f>V34*Configurations!$C$72</f>
        <v>305.94320141860607</v>
      </c>
      <c r="V35" s="193">
        <f t="shared" si="13"/>
        <v>713.86746997674754</v>
      </c>
      <c r="W35" s="193">
        <v>0</v>
      </c>
      <c r="X35" s="193">
        <f>Y34*Configurations!$D$72</f>
        <v>58.30342722203433</v>
      </c>
      <c r="Y35" s="193">
        <f t="shared" si="14"/>
        <v>524.73084499830895</v>
      </c>
      <c r="Z35" s="194">
        <v>0</v>
      </c>
      <c r="AA35" s="193">
        <f>AB34*Configurations!$E$72</f>
        <v>302.85531369026938</v>
      </c>
      <c r="AB35" s="193">
        <f t="shared" si="15"/>
        <v>1211.4212547610773</v>
      </c>
      <c r="AC35" s="194">
        <f t="shared" si="16"/>
        <v>2164.8278503923921</v>
      </c>
      <c r="AD35" s="193">
        <f>AC35*Constants!$D$23</f>
        <v>216.48278503923922</v>
      </c>
      <c r="AE35" s="193">
        <f t="shared" si="10"/>
        <v>2615.4470076840621</v>
      </c>
      <c r="AF35" s="195">
        <f>AE35*(1+Constants!$D$20)^-H35</f>
        <v>1867.8543369988981</v>
      </c>
      <c r="AG35" s="202"/>
      <c r="AH35" s="202"/>
    </row>
    <row r="36" spans="8:35" x14ac:dyDescent="0.3">
      <c r="H36" s="178">
        <v>18</v>
      </c>
      <c r="I36" s="192">
        <f>I35*(1-Constants!$D$11)</f>
        <v>0.91372488601259316</v>
      </c>
      <c r="J36" s="179">
        <f t="shared" si="11"/>
        <v>1291.2961834454732</v>
      </c>
      <c r="K36" s="179">
        <f t="shared" si="12"/>
        <v>10049.641602917725</v>
      </c>
      <c r="L36" s="193">
        <f>IF(J36*'Grid Power'!K35&lt;0,0,J36*'Grid Power'!K35)</f>
        <v>339.51773336250579</v>
      </c>
      <c r="M36" s="194">
        <v>0</v>
      </c>
      <c r="N36" s="194">
        <f>N35*(1+Constants!$D$20)</f>
        <v>140.02414191924251</v>
      </c>
      <c r="O36" s="194">
        <v>0</v>
      </c>
      <c r="P36" s="194">
        <f>K36*'Grid Power'!L35</f>
        <v>1213.9847863037662</v>
      </c>
      <c r="Q36" s="194">
        <v>0</v>
      </c>
      <c r="R36" s="193">
        <f>SUM(P36:Q36)-SUM(L36:O36)</f>
        <v>734.44291102201794</v>
      </c>
      <c r="S36" s="193">
        <f>R36+'Analysis (Nothing)'!D23</f>
        <v>2916.754609720791</v>
      </c>
      <c r="T36" s="193">
        <v>0</v>
      </c>
      <c r="U36" s="193">
        <f>V35*Configurations!$C$72</f>
        <v>214.16024099302425</v>
      </c>
      <c r="V36" s="193">
        <f t="shared" si="13"/>
        <v>499.70722898372333</v>
      </c>
      <c r="W36" s="193">
        <v>0</v>
      </c>
      <c r="X36" s="193">
        <f>Y35*Configurations!$D$72</f>
        <v>52.473084499830897</v>
      </c>
      <c r="Y36" s="193">
        <f t="shared" si="14"/>
        <v>472.25776049847804</v>
      </c>
      <c r="Z36" s="194">
        <v>0</v>
      </c>
      <c r="AA36" s="193">
        <f>AB35*Configurations!$E$72</f>
        <v>242.28425095221547</v>
      </c>
      <c r="AB36" s="193">
        <f t="shared" si="15"/>
        <v>969.13700380886189</v>
      </c>
      <c r="AC36" s="194">
        <f t="shared" si="16"/>
        <v>2407.8370332757204</v>
      </c>
      <c r="AD36" s="193">
        <f>AC36*Constants!$D$23</f>
        <v>240.78370332757206</v>
      </c>
      <c r="AE36" s="193">
        <f t="shared" si="10"/>
        <v>2675.9709063932191</v>
      </c>
      <c r="AF36" s="195">
        <f>AE36*(1+Constants!$D$20)^-H36</f>
        <v>1873.6061172464688</v>
      </c>
      <c r="AG36" s="202"/>
      <c r="AH36" s="202"/>
    </row>
    <row r="37" spans="8:35" x14ac:dyDescent="0.3">
      <c r="H37" s="178">
        <v>19</v>
      </c>
      <c r="I37" s="192">
        <f>I36*(1-Constants!$D$11)</f>
        <v>0.90915626158253016</v>
      </c>
      <c r="J37" s="179">
        <f t="shared" si="11"/>
        <v>1296.7270795547295</v>
      </c>
      <c r="K37" s="179">
        <f t="shared" si="12"/>
        <v>9999.3933949031361</v>
      </c>
      <c r="L37" s="193">
        <f>IF(J37*'Grid Power'!K36&lt;0,0,J37*'Grid Power'!K36)</f>
        <v>357.04996415823501</v>
      </c>
      <c r="M37" s="194">
        <v>0</v>
      </c>
      <c r="N37" s="194">
        <f>N36*(1+Constants!$D$20)</f>
        <v>142.82462475762736</v>
      </c>
      <c r="O37" s="194">
        <v>0</v>
      </c>
      <c r="P37" s="194">
        <f>K37*'Grid Power'!L36</f>
        <v>1219.9940109959698</v>
      </c>
      <c r="Q37" s="194">
        <v>0</v>
      </c>
      <c r="R37" s="193">
        <f>SUM(P37:Q37)-SUM(L37:O37)</f>
        <v>720.11942208010737</v>
      </c>
      <c r="S37" s="193">
        <f>R37+'Analysis (Nothing)'!D24</f>
        <v>3005.5108750985291</v>
      </c>
      <c r="T37" s="193">
        <v>0</v>
      </c>
      <c r="U37" s="193">
        <f>V36*Configurations!$C$72</f>
        <v>149.912168695117</v>
      </c>
      <c r="V37" s="193">
        <f t="shared" si="13"/>
        <v>349.79506028860635</v>
      </c>
      <c r="W37" s="193">
        <v>0</v>
      </c>
      <c r="X37" s="193">
        <f>Y36*Configurations!$D$72</f>
        <v>47.225776049847809</v>
      </c>
      <c r="Y37" s="193">
        <f t="shared" si="14"/>
        <v>425.03198444863023</v>
      </c>
      <c r="Z37" s="194">
        <v>0</v>
      </c>
      <c r="AA37" s="193">
        <f>AB36*Configurations!$E$72</f>
        <v>193.8274007617724</v>
      </c>
      <c r="AB37" s="193">
        <f t="shared" si="15"/>
        <v>775.30960304708947</v>
      </c>
      <c r="AC37" s="194">
        <f t="shared" si="16"/>
        <v>2614.5455295917918</v>
      </c>
      <c r="AD37" s="193">
        <f>AC37*Constants!$D$23</f>
        <v>261.45455295917918</v>
      </c>
      <c r="AE37" s="193">
        <f>S37-AD37</f>
        <v>2744.05632213935</v>
      </c>
      <c r="AF37" s="195">
        <f>AE37*(1+Constants!$D$20)^-H37</f>
        <v>1883.6046660583866</v>
      </c>
      <c r="AG37" s="202"/>
      <c r="AH37" s="202"/>
    </row>
    <row r="38" spans="8:35" x14ac:dyDescent="0.3">
      <c r="H38" s="196">
        <v>20</v>
      </c>
      <c r="I38" s="197">
        <f>I37*(1-Constants!$D$11)</f>
        <v>0.90461048027461755</v>
      </c>
      <c r="J38" s="198">
        <f t="shared" si="11"/>
        <v>1302.1308211834394</v>
      </c>
      <c r="K38" s="198">
        <f t="shared" si="12"/>
        <v>9949.3964279286211</v>
      </c>
      <c r="L38" s="199">
        <f>IF(J38*'Grid Power'!K37&lt;0,0,J38*'Grid Power'!K37)</f>
        <v>375.50565299028011</v>
      </c>
      <c r="M38" s="200">
        <v>0</v>
      </c>
      <c r="N38" s="200">
        <f>N37*(1+Constants!$D$20)</f>
        <v>145.6811172527799</v>
      </c>
      <c r="O38" s="200">
        <v>0</v>
      </c>
      <c r="P38" s="200">
        <f>K38*'Grid Power'!L37</f>
        <v>1226.0329813504</v>
      </c>
      <c r="Q38" s="200">
        <f>V38+Y38+AB38</f>
        <v>1247.6330106434632</v>
      </c>
      <c r="R38" s="199">
        <f>SUM(P38:Q38)-SUM(L38:O38)</f>
        <v>1952.4792217508029</v>
      </c>
      <c r="S38" s="199">
        <f>R38+'Analysis (Nothing)'!D25</f>
        <v>4346.0266974282677</v>
      </c>
      <c r="T38" s="199">
        <v>0</v>
      </c>
      <c r="U38" s="199">
        <f>V37*Configurations!$C$72</f>
        <v>104.93851808658191</v>
      </c>
      <c r="V38" s="199">
        <f t="shared" si="13"/>
        <v>244.85654220202446</v>
      </c>
      <c r="W38" s="199">
        <v>0</v>
      </c>
      <c r="X38" s="199">
        <f>Y37*Configurations!$D$72</f>
        <v>42.503198444863024</v>
      </c>
      <c r="Y38" s="199">
        <f t="shared" si="14"/>
        <v>382.52878600376721</v>
      </c>
      <c r="Z38" s="200">
        <v>0</v>
      </c>
      <c r="AA38" s="199">
        <f>AB37*Configurations!$E$72</f>
        <v>155.06192060941791</v>
      </c>
      <c r="AB38" s="199">
        <f t="shared" si="15"/>
        <v>620.24768243767153</v>
      </c>
      <c r="AC38" s="200">
        <f t="shared" si="16"/>
        <v>4043.5230602874044</v>
      </c>
      <c r="AD38" s="199">
        <f>AC38*Constants!$D$23</f>
        <v>404.35230602874049</v>
      </c>
      <c r="AE38" s="199">
        <f>S38-AD38</f>
        <v>3941.6743913995269</v>
      </c>
      <c r="AF38" s="201">
        <f>AE38*(1+Constants!$D$20)^-H38</f>
        <v>2652.6338698580321</v>
      </c>
      <c r="AG38" s="202"/>
      <c r="AH38" s="202"/>
    </row>
    <row r="39" spans="8:35" x14ac:dyDescent="0.3">
      <c r="H39" s="202"/>
      <c r="I39" s="192"/>
      <c r="J39" s="179"/>
      <c r="K39" s="179"/>
      <c r="L39" s="193"/>
      <c r="M39" s="194"/>
      <c r="N39" s="194"/>
      <c r="O39" s="194"/>
      <c r="P39" s="194"/>
      <c r="Q39" s="194"/>
      <c r="R39" s="193"/>
      <c r="S39" s="193"/>
      <c r="T39" s="193"/>
      <c r="U39" s="193"/>
      <c r="V39" s="193"/>
      <c r="W39" s="193"/>
      <c r="X39" s="193"/>
      <c r="Y39" s="193"/>
      <c r="Z39" s="194"/>
      <c r="AA39" s="193"/>
      <c r="AB39" s="193"/>
      <c r="AC39" s="194"/>
      <c r="AD39" s="193"/>
      <c r="AE39" s="193"/>
      <c r="AF39" s="194"/>
      <c r="AG39" s="202"/>
      <c r="AH39" s="202"/>
    </row>
    <row r="40" spans="8:35" x14ac:dyDescent="0.3">
      <c r="H40" s="260" t="s">
        <v>203</v>
      </c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02"/>
      <c r="AH40" s="172" t="s">
        <v>194</v>
      </c>
      <c r="AI40" s="173">
        <f>IRR(AE44:AE84)</f>
        <v>9.1631497111116289E-2</v>
      </c>
    </row>
    <row r="41" spans="8:35" x14ac:dyDescent="0.3">
      <c r="H41" s="260" t="s">
        <v>56</v>
      </c>
      <c r="I41" s="261" t="s">
        <v>116</v>
      </c>
      <c r="J41" s="262"/>
      <c r="K41" s="263"/>
      <c r="L41" s="261" t="s">
        <v>6</v>
      </c>
      <c r="M41" s="262"/>
      <c r="N41" s="262"/>
      <c r="O41" s="263"/>
      <c r="P41" s="262" t="s">
        <v>166</v>
      </c>
      <c r="Q41" s="263"/>
      <c r="R41" s="261" t="s">
        <v>174</v>
      </c>
      <c r="S41" s="263"/>
      <c r="T41" s="261" t="s">
        <v>229</v>
      </c>
      <c r="U41" s="262"/>
      <c r="V41" s="263"/>
      <c r="W41" s="261" t="s">
        <v>230</v>
      </c>
      <c r="X41" s="262"/>
      <c r="Y41" s="263"/>
      <c r="Z41" s="261" t="s">
        <v>247</v>
      </c>
      <c r="AA41" s="262"/>
      <c r="AB41" s="263"/>
      <c r="AC41" s="170"/>
      <c r="AD41" s="170"/>
      <c r="AE41" s="260" t="s">
        <v>197</v>
      </c>
      <c r="AF41" s="260"/>
      <c r="AG41" s="202"/>
      <c r="AH41" s="172" t="s">
        <v>195</v>
      </c>
      <c r="AI41" s="177">
        <f>IRR(AF44:AF84)</f>
        <v>7.022695795207623E-2</v>
      </c>
    </row>
    <row r="42" spans="8:35" x14ac:dyDescent="0.3">
      <c r="H42" s="260"/>
      <c r="I42" s="258" t="s">
        <v>153</v>
      </c>
      <c r="J42" s="209" t="s">
        <v>170</v>
      </c>
      <c r="K42" s="209" t="s">
        <v>243</v>
      </c>
      <c r="L42" s="209" t="s">
        <v>162</v>
      </c>
      <c r="M42" s="209" t="s">
        <v>139</v>
      </c>
      <c r="N42" s="209" t="s">
        <v>164</v>
      </c>
      <c r="O42" s="209" t="s">
        <v>226</v>
      </c>
      <c r="P42" s="209" t="s">
        <v>165</v>
      </c>
      <c r="Q42" s="209" t="s">
        <v>146</v>
      </c>
      <c r="R42" s="209" t="s">
        <v>174</v>
      </c>
      <c r="S42" s="209" t="s">
        <v>177</v>
      </c>
      <c r="T42" s="209" t="str">
        <f>"+CCA"</f>
        <v>+CCA</v>
      </c>
      <c r="U42" s="209" t="s">
        <v>8</v>
      </c>
      <c r="V42" s="209" t="s">
        <v>231</v>
      </c>
      <c r="W42" s="209" t="str">
        <f>"+CCA"</f>
        <v>+CCA</v>
      </c>
      <c r="X42" s="209" t="s">
        <v>8</v>
      </c>
      <c r="Y42" s="209" t="s">
        <v>231</v>
      </c>
      <c r="Z42" s="209" t="str">
        <f>"+CCA"</f>
        <v>+CCA</v>
      </c>
      <c r="AA42" s="209" t="s">
        <v>8</v>
      </c>
      <c r="AB42" s="209" t="s">
        <v>231</v>
      </c>
      <c r="AC42" s="209" t="s">
        <v>172</v>
      </c>
      <c r="AD42" s="209" t="s">
        <v>175</v>
      </c>
      <c r="AE42" s="209" t="s">
        <v>196</v>
      </c>
      <c r="AF42" s="209" t="s">
        <v>196</v>
      </c>
      <c r="AG42" s="202"/>
      <c r="AH42" s="183" t="s">
        <v>198</v>
      </c>
      <c r="AI42" s="184">
        <f>NPV(Constants!$D$21,'Analysis (C)'!AF45:AF84)+'Analysis (C)'!AF44</f>
        <v>9058.6076641067739</v>
      </c>
    </row>
    <row r="43" spans="8:35" x14ac:dyDescent="0.3">
      <c r="H43" s="264"/>
      <c r="I43" s="259"/>
      <c r="J43" s="181" t="s">
        <v>62</v>
      </c>
      <c r="K43" s="181" t="s">
        <v>62</v>
      </c>
      <c r="L43" s="181" t="s">
        <v>59</v>
      </c>
      <c r="M43" s="181" t="s">
        <v>59</v>
      </c>
      <c r="N43" s="181" t="s">
        <v>59</v>
      </c>
      <c r="O43" s="181" t="s">
        <v>59</v>
      </c>
      <c r="P43" s="181" t="s">
        <v>59</v>
      </c>
      <c r="Q43" s="181" t="s">
        <v>59</v>
      </c>
      <c r="R43" s="181" t="s">
        <v>59</v>
      </c>
      <c r="S43" s="181" t="s">
        <v>59</v>
      </c>
      <c r="T43" s="181" t="s">
        <v>59</v>
      </c>
      <c r="U43" s="181" t="s">
        <v>59</v>
      </c>
      <c r="V43" s="181" t="s">
        <v>59</v>
      </c>
      <c r="W43" s="181" t="s">
        <v>59</v>
      </c>
      <c r="X43" s="181" t="s">
        <v>59</v>
      </c>
      <c r="Y43" s="181" t="s">
        <v>59</v>
      </c>
      <c r="Z43" s="181" t="s">
        <v>59</v>
      </c>
      <c r="AA43" s="181" t="s">
        <v>59</v>
      </c>
      <c r="AB43" s="181" t="s">
        <v>59</v>
      </c>
      <c r="AC43" s="181" t="s">
        <v>59</v>
      </c>
      <c r="AD43" s="181" t="s">
        <v>59</v>
      </c>
      <c r="AE43" s="181" t="s">
        <v>59</v>
      </c>
      <c r="AF43" s="182" t="s">
        <v>178</v>
      </c>
      <c r="AH43" s="172" t="s">
        <v>199</v>
      </c>
      <c r="AI43" s="191">
        <f>PMT(Constants!$D$21,5,-'Analysis (C)'!AI42)</f>
        <v>1977.9883939820079</v>
      </c>
    </row>
    <row r="44" spans="8:35" x14ac:dyDescent="0.3">
      <c r="H44" s="185">
        <v>0</v>
      </c>
      <c r="I44" s="186">
        <v>1</v>
      </c>
      <c r="J44" s="187">
        <v>0</v>
      </c>
      <c r="K44" s="187">
        <v>0</v>
      </c>
      <c r="L44" s="188">
        <v>0</v>
      </c>
      <c r="M44" s="189">
        <f>IF($C$20=0,Configurations!$C$58-Configurations!$C$59,0)</f>
        <v>0</v>
      </c>
      <c r="N44" s="189">
        <v>0</v>
      </c>
      <c r="O44" s="189">
        <v>0</v>
      </c>
      <c r="P44" s="189">
        <f>K44*'Grid Power'!$L$18</f>
        <v>0</v>
      </c>
      <c r="Q44" s="189">
        <v>0</v>
      </c>
      <c r="R44" s="188">
        <f>SUM(P44:Q44)-SUM(L44:O44)</f>
        <v>0</v>
      </c>
      <c r="S44" s="188">
        <f>R44+'Analysis (Nothing)'!D5</f>
        <v>0</v>
      </c>
      <c r="T44" s="188">
        <f>Configurations!$C$71/2</f>
        <v>9108</v>
      </c>
      <c r="U44" s="188">
        <f>0</f>
        <v>0</v>
      </c>
      <c r="V44" s="188">
        <f>U44+T44</f>
        <v>9108</v>
      </c>
      <c r="W44" s="188">
        <f>Configurations!$D$71/2</f>
        <v>1490.3999999999999</v>
      </c>
      <c r="X44" s="188">
        <f>0</f>
        <v>0</v>
      </c>
      <c r="Y44" s="188">
        <f>X44+W44</f>
        <v>1490.3999999999999</v>
      </c>
      <c r="Z44" s="188">
        <f>Configurations!$E$71/2</f>
        <v>2318.4</v>
      </c>
      <c r="AA44" s="189">
        <v>0</v>
      </c>
      <c r="AB44" s="188">
        <f>Z44-AA44</f>
        <v>2318.4</v>
      </c>
      <c r="AC44" s="189">
        <f>IF(S44&lt;0, 0,S44-AA44-X44-U44)</f>
        <v>0</v>
      </c>
      <c r="AD44" s="188">
        <f>AC44*Constants!$D$23</f>
        <v>0</v>
      </c>
      <c r="AE44" s="188">
        <f t="shared" ref="AE44:AE62" si="17">S44-AD44</f>
        <v>0</v>
      </c>
      <c r="AF44" s="190">
        <f>AE44*(1+Constants!$D$20)^-H44</f>
        <v>0</v>
      </c>
    </row>
    <row r="45" spans="8:35" x14ac:dyDescent="0.3">
      <c r="H45" s="178">
        <v>1</v>
      </c>
      <c r="I45" s="192">
        <f>I44*(1-Constants!$D$11)</f>
        <v>0.995</v>
      </c>
      <c r="J45" s="179">
        <f>$E$18*(2-I45)</f>
        <v>1194.6813911615995</v>
      </c>
      <c r="K45" s="179">
        <f>$F$18*I45</f>
        <v>10943.549363681579</v>
      </c>
      <c r="L45" s="193">
        <f>IF(J45*'Grid Power'!K18&lt;0,0,J45*'Grid Power'!K18)</f>
        <v>145.51296281829875</v>
      </c>
      <c r="M45" s="194">
        <f>IF($C$20=5,Configurations!$F$58,IF('Analysis (C)'!$C$20=15,Configurations!$F$59,0))</f>
        <v>2323.7759771349743</v>
      </c>
      <c r="N45" s="194">
        <f>Configurations!$C$55*Constants!$D$63*1000</f>
        <v>100</v>
      </c>
      <c r="O45" s="194">
        <v>0</v>
      </c>
      <c r="P45" s="194">
        <f>K45*'Grid Power'!L18</f>
        <v>1116.2398354420991</v>
      </c>
      <c r="Q45" s="194">
        <v>0</v>
      </c>
      <c r="R45" s="193">
        <f>SUM(P45:Q45)-SUM(L45:O45)</f>
        <v>-1453.0491045111737</v>
      </c>
      <c r="S45" s="193">
        <f>R45+'Analysis (Nothing)'!D6</f>
        <v>-442.09888728541364</v>
      </c>
      <c r="T45" s="193">
        <f>Configurations!$C$71/2</f>
        <v>9108</v>
      </c>
      <c r="U45" s="193">
        <f>V44*Configurations!$C$48</f>
        <v>2732.4</v>
      </c>
      <c r="V45" s="193">
        <f>V44+T45-U45</f>
        <v>15483.6</v>
      </c>
      <c r="W45" s="193">
        <f>Configurations!$D$71/2</f>
        <v>1490.3999999999999</v>
      </c>
      <c r="X45" s="193">
        <f>Y44*Configurations!$D$48</f>
        <v>149.04</v>
      </c>
      <c r="Y45" s="193">
        <f>Y44+W45-X45</f>
        <v>2831.7599999999998</v>
      </c>
      <c r="Z45" s="193">
        <f>Configurations!$E$71/2</f>
        <v>2318.4</v>
      </c>
      <c r="AA45" s="193">
        <f>AB44*Configurations!$E$48</f>
        <v>463.68000000000006</v>
      </c>
      <c r="AB45" s="193">
        <f>AB44+Z45-AA45</f>
        <v>4173.12</v>
      </c>
      <c r="AC45" s="194">
        <f>IF(S45-AA45-X45-U45&lt;0, 0,S45-AA45-X45-U45)</f>
        <v>0</v>
      </c>
      <c r="AD45" s="193">
        <f>AC45*Constants!$D$23</f>
        <v>0</v>
      </c>
      <c r="AE45" s="193">
        <f t="shared" si="17"/>
        <v>-442.09888728541364</v>
      </c>
      <c r="AF45" s="195">
        <f>AE45*(1+Constants!$D$20)^-H45</f>
        <v>-433.43028165236632</v>
      </c>
    </row>
    <row r="46" spans="8:35" x14ac:dyDescent="0.3">
      <c r="H46" s="178">
        <v>2</v>
      </c>
      <c r="I46" s="192">
        <f>I45*(1-Constants!$D$11)</f>
        <v>0.99002500000000004</v>
      </c>
      <c r="J46" s="179">
        <f t="shared" ref="J46:J84" si="18">$E$18*(2-I46)</f>
        <v>1200.5953612322751</v>
      </c>
      <c r="K46" s="179">
        <f t="shared" ref="K46:K84" si="19">$F$18*I46</f>
        <v>10888.831616863172</v>
      </c>
      <c r="L46" s="193">
        <f>IF(J46*'Grid Power'!K19&lt;0,0,J46*'Grid Power'!K19)</f>
        <v>152.87003132659842</v>
      </c>
      <c r="M46" s="194">
        <f>IF($C$20=5,Configurations!$F$58,IF('Analysis (C)'!$C$20=15,Configurations!$F$59,0))</f>
        <v>2323.7759771349743</v>
      </c>
      <c r="N46" s="194">
        <f>N45*(1+Constants!$D$20)</f>
        <v>102</v>
      </c>
      <c r="O46" s="194">
        <v>0</v>
      </c>
      <c r="P46" s="194">
        <f>K46*'Grid Power'!L19</f>
        <v>1121.7652226275375</v>
      </c>
      <c r="Q46" s="194">
        <v>0</v>
      </c>
      <c r="R46" s="193">
        <f>SUM(P46:Q46)-SUM(L46:O46)</f>
        <v>-1456.8807858340354</v>
      </c>
      <c r="S46" s="193">
        <f>R46+'Analysis (Nothing)'!D7</f>
        <v>-400.04897073380653</v>
      </c>
      <c r="T46" s="193">
        <v>0</v>
      </c>
      <c r="U46" s="193">
        <f>V45*Configurations!$C$48</f>
        <v>4645.08</v>
      </c>
      <c r="V46" s="193">
        <f t="shared" ref="V46:V84" si="20">V45+T46-U46</f>
        <v>10838.52</v>
      </c>
      <c r="W46" s="193">
        <v>0</v>
      </c>
      <c r="X46" s="193">
        <f>Y45*Configurations!$D$48</f>
        <v>283.17599999999999</v>
      </c>
      <c r="Y46" s="193">
        <f t="shared" ref="Y46:Y84" si="21">Y45+W46-X46</f>
        <v>2548.5839999999998</v>
      </c>
      <c r="Z46" s="194">
        <v>0</v>
      </c>
      <c r="AA46" s="193">
        <f>AB45*Configurations!$E$48</f>
        <v>834.62400000000002</v>
      </c>
      <c r="AB46" s="193">
        <f t="shared" ref="AB46:AB84" si="22">AB45+Z46-AA46</f>
        <v>3338.4960000000001</v>
      </c>
      <c r="AC46" s="194">
        <f t="shared" ref="AC46:AC84" si="23">IF(S46-AA46-X46-U46&lt;0, 0,S46-AA46-X46-U46)</f>
        <v>0</v>
      </c>
      <c r="AD46" s="193">
        <f>AC46*Constants!$D$23</f>
        <v>0</v>
      </c>
      <c r="AE46" s="193">
        <f t="shared" si="17"/>
        <v>-400.04897073380653</v>
      </c>
      <c r="AF46" s="195">
        <f>AE46*(1+Constants!$D$20)^-H46</f>
        <v>-384.51458163572335</v>
      </c>
    </row>
    <row r="47" spans="8:35" x14ac:dyDescent="0.3">
      <c r="H47" s="178">
        <v>3</v>
      </c>
      <c r="I47" s="192">
        <f>I46*(1-Constants!$D$11)</f>
        <v>0.98507487500000002</v>
      </c>
      <c r="J47" s="179">
        <f t="shared" si="18"/>
        <v>1206.4797614525976</v>
      </c>
      <c r="K47" s="179">
        <f t="shared" si="19"/>
        <v>10834.387458778856</v>
      </c>
      <c r="L47" s="193">
        <f>IF(J47*'Grid Power'!K20&lt;0,0,J47*'Grid Power'!K20)</f>
        <v>160.61053358370214</v>
      </c>
      <c r="M47" s="194">
        <f>IF($C$20=5,Configurations!$F$58,IF('Analysis (C)'!$C$20=15,Configurations!$F$59,0))</f>
        <v>2323.7759771349743</v>
      </c>
      <c r="N47" s="194">
        <f>N46*(1+Constants!$D$20)</f>
        <v>104.04</v>
      </c>
      <c r="O47" s="194">
        <v>0</v>
      </c>
      <c r="P47" s="194">
        <f>K47*'Grid Power'!L20</f>
        <v>1127.3179604795439</v>
      </c>
      <c r="Q47" s="194">
        <v>0</v>
      </c>
      <c r="R47" s="193">
        <f>SUM(P47:Q47)-SUM(L47:O47)</f>
        <v>-1461.1085502391327</v>
      </c>
      <c r="S47" s="193">
        <f>R47+'Analysis (Nothing)'!D8</f>
        <v>-356.18006676332652</v>
      </c>
      <c r="T47" s="193">
        <v>0</v>
      </c>
      <c r="U47" s="193">
        <f>V46*Configurations!$C$48</f>
        <v>3251.556</v>
      </c>
      <c r="V47" s="193">
        <f t="shared" si="20"/>
        <v>7586.9639999999999</v>
      </c>
      <c r="W47" s="193">
        <v>0</v>
      </c>
      <c r="X47" s="193">
        <f>Y46*Configurations!$D$48</f>
        <v>254.85839999999999</v>
      </c>
      <c r="Y47" s="193">
        <f t="shared" si="21"/>
        <v>2293.7255999999998</v>
      </c>
      <c r="Z47" s="194">
        <v>0</v>
      </c>
      <c r="AA47" s="193">
        <f>AB46*Configurations!$E$48</f>
        <v>667.69920000000002</v>
      </c>
      <c r="AB47" s="193">
        <f t="shared" si="22"/>
        <v>2670.7968000000001</v>
      </c>
      <c r="AC47" s="194">
        <f t="shared" si="23"/>
        <v>0</v>
      </c>
      <c r="AD47" s="193">
        <f>AC47*Constants!$D$23</f>
        <v>0</v>
      </c>
      <c r="AE47" s="193">
        <f t="shared" si="17"/>
        <v>-356.18006676332652</v>
      </c>
      <c r="AF47" s="195">
        <f>AE47*(1+Constants!$D$20)^-H47</f>
        <v>-335.63643203154004</v>
      </c>
    </row>
    <row r="48" spans="8:35" x14ac:dyDescent="0.3">
      <c r="H48" s="178">
        <v>4</v>
      </c>
      <c r="I48" s="192">
        <f>I47*(1-Constants!$D$11)</f>
        <v>0.98014950062500006</v>
      </c>
      <c r="J48" s="179">
        <f t="shared" si="18"/>
        <v>1212.3347396718182</v>
      </c>
      <c r="K48" s="179">
        <f t="shared" si="19"/>
        <v>10780.215521484963</v>
      </c>
      <c r="L48" s="193">
        <f>IF(J48*'Grid Power'!K21&lt;0,0,J48*'Grid Power'!K21)</f>
        <v>168.75478659908939</v>
      </c>
      <c r="M48" s="194">
        <f>IF($C$20=5,Configurations!$F$58,IF('Analysis (C)'!$C$20=15,Configurations!$F$59,0))</f>
        <v>2323.7759771349743</v>
      </c>
      <c r="N48" s="194">
        <f>N47*(1+Constants!$D$20)</f>
        <v>106.1208</v>
      </c>
      <c r="O48" s="194">
        <v>0</v>
      </c>
      <c r="P48" s="194">
        <f>K48*'Grid Power'!L21</f>
        <v>1132.8981843839176</v>
      </c>
      <c r="Q48" s="194">
        <v>0</v>
      </c>
      <c r="R48" s="193">
        <f>SUM(P48:Q48)-SUM(L48:O48)</f>
        <v>-1465.7533793501464</v>
      </c>
      <c r="S48" s="193">
        <f>R48+'Analysis (Nothing)'!D9</f>
        <v>-310.40293600388782</v>
      </c>
      <c r="T48" s="193">
        <v>0</v>
      </c>
      <c r="U48" s="193">
        <f>V47*Configurations!$C$48</f>
        <v>2276.0891999999999</v>
      </c>
      <c r="V48" s="193">
        <f t="shared" si="20"/>
        <v>5310.8747999999996</v>
      </c>
      <c r="W48" s="193">
        <v>0</v>
      </c>
      <c r="X48" s="193">
        <f>Y47*Configurations!$D$48</f>
        <v>229.37255999999999</v>
      </c>
      <c r="Y48" s="193">
        <f t="shared" si="21"/>
        <v>2064.35304</v>
      </c>
      <c r="Z48" s="194">
        <v>0</v>
      </c>
      <c r="AA48" s="193">
        <f>AB47*Configurations!$E$48</f>
        <v>534.15935999999999</v>
      </c>
      <c r="AB48" s="193">
        <f t="shared" si="22"/>
        <v>2136.63744</v>
      </c>
      <c r="AC48" s="194">
        <f t="shared" si="23"/>
        <v>0</v>
      </c>
      <c r="AD48" s="193">
        <f>AC48*Constants!$D$23</f>
        <v>0</v>
      </c>
      <c r="AE48" s="193">
        <f t="shared" si="17"/>
        <v>-310.40293600388782</v>
      </c>
      <c r="AF48" s="195">
        <f>AE48*(1+Constants!$D$20)^-H48</f>
        <v>-286.76433265239257</v>
      </c>
    </row>
    <row r="49" spans="8:32" hidden="1" x14ac:dyDescent="0.3">
      <c r="H49" s="178">
        <v>5</v>
      </c>
      <c r="I49" s="192">
        <f>I48*(1-Constants!$D$11)</f>
        <v>0.97524875312187509</v>
      </c>
      <c r="J49" s="179">
        <f t="shared" si="18"/>
        <v>1218.1604429999425</v>
      </c>
      <c r="K49" s="179">
        <f t="shared" si="19"/>
        <v>10726.314443877538</v>
      </c>
      <c r="L49" s="193">
        <f>IF(J49*'Grid Power'!K22&lt;0,0,J49*'Grid Power'!K22)</f>
        <v>177.32418925774044</v>
      </c>
      <c r="M49" s="194">
        <f>IF($C$20=5,Configurations!$F$58,IF('Analysis (C)'!$C$20=15,Configurations!$F$59,0))</f>
        <v>2323.7759771349743</v>
      </c>
      <c r="N49" s="194">
        <f>N48*(1+Constants!$D$20)</f>
        <v>108.243216</v>
      </c>
      <c r="O49" s="194">
        <v>0</v>
      </c>
      <c r="P49" s="194">
        <f>K49*'Grid Power'!L22</f>
        <v>1138.5060303966181</v>
      </c>
      <c r="Q49" s="194">
        <v>0</v>
      </c>
      <c r="R49" s="193">
        <f>SUM(P49:Q49)-SUM(L49:O49)</f>
        <v>-1470.8373519960962</v>
      </c>
      <c r="S49" s="193">
        <f>R49+'Analysis (Nothing)'!D10</f>
        <v>-262.62387546730224</v>
      </c>
      <c r="T49" s="193">
        <v>0</v>
      </c>
      <c r="U49" s="193">
        <f>V48*Configurations!$C$48</f>
        <v>1593.2624399999997</v>
      </c>
      <c r="V49" s="193">
        <f t="shared" si="20"/>
        <v>3717.6123600000001</v>
      </c>
      <c r="W49" s="193">
        <v>0</v>
      </c>
      <c r="X49" s="193">
        <f>Y48*Configurations!$D$48</f>
        <v>206.435304</v>
      </c>
      <c r="Y49" s="193">
        <f t="shared" si="21"/>
        <v>1857.9177359999999</v>
      </c>
      <c r="Z49" s="194">
        <v>0</v>
      </c>
      <c r="AA49" s="193">
        <f>AB48*Configurations!$E$48</f>
        <v>427.32748800000002</v>
      </c>
      <c r="AB49" s="193">
        <f t="shared" si="22"/>
        <v>1709.3099520000001</v>
      </c>
      <c r="AC49" s="194">
        <f t="shared" si="23"/>
        <v>0</v>
      </c>
      <c r="AD49" s="193">
        <f>AC49*Constants!$D$23</f>
        <v>0</v>
      </c>
      <c r="AE49" s="193">
        <f t="shared" si="17"/>
        <v>-262.62387546730224</v>
      </c>
      <c r="AF49" s="195">
        <f>AE49*(1+Constants!$D$20)^-H49</f>
        <v>-237.86653540767065</v>
      </c>
    </row>
    <row r="50" spans="8:32" hidden="1" x14ac:dyDescent="0.3">
      <c r="H50" s="178">
        <v>6</v>
      </c>
      <c r="I50" s="192">
        <f>I49*(1-Constants!$D$11)</f>
        <v>0.97037250935626573</v>
      </c>
      <c r="J50" s="179">
        <f t="shared" si="18"/>
        <v>1223.9570178114263</v>
      </c>
      <c r="K50" s="179">
        <f t="shared" si="19"/>
        <v>10672.682871658149</v>
      </c>
      <c r="L50" s="193">
        <f>IF(J50*'Grid Power'!K23&lt;0,0,J50*'Grid Power'!K23)</f>
        <v>186.34127986554381</v>
      </c>
      <c r="M50" s="194">
        <f>IF($C$20=15,Configurations!$F$59,0)</f>
        <v>2323.7759771349743</v>
      </c>
      <c r="N50" s="194">
        <f>N49*(1+Constants!$D$20)</f>
        <v>110.40808032000001</v>
      </c>
      <c r="O50" s="194">
        <v>0</v>
      </c>
      <c r="P50" s="194">
        <f>K50*'Grid Power'!L23</f>
        <v>1144.1416352470812</v>
      </c>
      <c r="Q50" s="194">
        <v>0</v>
      </c>
      <c r="R50" s="193">
        <f>SUM(P50:Q50)-SUM(L50:O50)</f>
        <v>-1476.383702073437</v>
      </c>
      <c r="S50" s="193">
        <f>R50+'Analysis (Nothing)'!D11</f>
        <v>-212.74449413721709</v>
      </c>
      <c r="T50" s="193">
        <v>0</v>
      </c>
      <c r="U50" s="193">
        <f>V49*Configurations!$C$48</f>
        <v>1115.2837079999999</v>
      </c>
      <c r="V50" s="193">
        <f t="shared" si="20"/>
        <v>2602.3286520000001</v>
      </c>
      <c r="W50" s="193">
        <v>0</v>
      </c>
      <c r="X50" s="193">
        <f>Y49*Configurations!$D$48</f>
        <v>185.7917736</v>
      </c>
      <c r="Y50" s="193">
        <f t="shared" si="21"/>
        <v>1672.1259623999999</v>
      </c>
      <c r="Z50" s="194">
        <v>0</v>
      </c>
      <c r="AA50" s="193">
        <f>AB49*Configurations!$E$48</f>
        <v>341.86199040000002</v>
      </c>
      <c r="AB50" s="193">
        <f t="shared" si="22"/>
        <v>1367.4479616000001</v>
      </c>
      <c r="AC50" s="194">
        <f t="shared" si="23"/>
        <v>0</v>
      </c>
      <c r="AD50" s="193">
        <f>AC50*Constants!$D$23</f>
        <v>0</v>
      </c>
      <c r="AE50" s="193">
        <f t="shared" si="17"/>
        <v>-212.74449413721709</v>
      </c>
      <c r="AF50" s="195">
        <f>AE50*(1+Constants!$D$20)^-H50</f>
        <v>-188.91102251152688</v>
      </c>
    </row>
    <row r="51" spans="8:32" hidden="1" x14ac:dyDescent="0.3">
      <c r="H51" s="178">
        <v>7</v>
      </c>
      <c r="I51" s="192">
        <f>I50*(1-Constants!$D$11)</f>
        <v>0.96552064680948435</v>
      </c>
      <c r="J51" s="179">
        <f t="shared" si="18"/>
        <v>1229.7246097488528</v>
      </c>
      <c r="K51" s="179">
        <f t="shared" si="19"/>
        <v>10619.319457299858</v>
      </c>
      <c r="L51" s="193">
        <f>IF(J51*'Grid Power'!K24&lt;0,0,J51*'Grid Power'!K24)</f>
        <v>195.82979674473467</v>
      </c>
      <c r="M51" s="194">
        <f>IF($C$20=15,Configurations!$F$59,0)</f>
        <v>2323.7759771349743</v>
      </c>
      <c r="N51" s="194">
        <f>N50*(1+Constants!$D$20)</f>
        <v>112.61624192640001</v>
      </c>
      <c r="O51" s="194">
        <v>0</v>
      </c>
      <c r="P51" s="194">
        <f>K51*'Grid Power'!L24</f>
        <v>1149.8051363415543</v>
      </c>
      <c r="Q51" s="194">
        <v>0</v>
      </c>
      <c r="R51" s="193">
        <f>SUM(P51:Q51)-SUM(L51:O51)</f>
        <v>-1482.4168794645548</v>
      </c>
      <c r="S51" s="193">
        <f>R51+'Analysis (Nothing)'!D12</f>
        <v>-160.66147724883194</v>
      </c>
      <c r="T51" s="193">
        <v>0</v>
      </c>
      <c r="U51" s="193">
        <f>V50*Configurations!$C$48</f>
        <v>780.69859559999998</v>
      </c>
      <c r="V51" s="193">
        <f t="shared" si="20"/>
        <v>1821.6300564000003</v>
      </c>
      <c r="W51" s="193">
        <v>0</v>
      </c>
      <c r="X51" s="193">
        <f>Y50*Configurations!$D$48</f>
        <v>167.21259624000001</v>
      </c>
      <c r="Y51" s="193">
        <f t="shared" si="21"/>
        <v>1504.9133661599999</v>
      </c>
      <c r="Z51" s="194">
        <v>0</v>
      </c>
      <c r="AA51" s="193">
        <f>AB50*Configurations!$E$48</f>
        <v>273.48959232000004</v>
      </c>
      <c r="AB51" s="193">
        <f t="shared" si="22"/>
        <v>1093.9583692800002</v>
      </c>
      <c r="AC51" s="194">
        <f t="shared" si="23"/>
        <v>0</v>
      </c>
      <c r="AD51" s="193">
        <f>AC51*Constants!$D$23</f>
        <v>0</v>
      </c>
      <c r="AE51" s="193">
        <f t="shared" si="17"/>
        <v>-160.66147724883194</v>
      </c>
      <c r="AF51" s="195">
        <f>AE51*(1+Constants!$D$20)^-H51</f>
        <v>-139.86548433011839</v>
      </c>
    </row>
    <row r="52" spans="8:32" hidden="1" x14ac:dyDescent="0.3">
      <c r="H52" s="178">
        <v>8</v>
      </c>
      <c r="I52" s="192">
        <f>I51*(1-Constants!$D$11)</f>
        <v>0.96069304357543694</v>
      </c>
      <c r="J52" s="179">
        <f t="shared" si="18"/>
        <v>1235.463363726592</v>
      </c>
      <c r="K52" s="179">
        <f t="shared" si="19"/>
        <v>10566.22286001336</v>
      </c>
      <c r="L52" s="193">
        <f>IF(J52*'Grid Power'!K25&lt;0,0,J52*'Grid Power'!K25)</f>
        <v>205.8147420403474</v>
      </c>
      <c r="M52" s="194">
        <f>IF($C$20=15,Configurations!$F$59,0)</f>
        <v>2323.7759771349743</v>
      </c>
      <c r="N52" s="194">
        <f>N51*(1+Constants!$D$20)</f>
        <v>114.868566764928</v>
      </c>
      <c r="O52" s="194">
        <v>0</v>
      </c>
      <c r="P52" s="194">
        <f>K52*'Grid Power'!L25</f>
        <v>1155.4966717664452</v>
      </c>
      <c r="Q52" s="194">
        <v>0</v>
      </c>
      <c r="R52" s="193">
        <f>SUM(P52:Q52)-SUM(L52:O52)</f>
        <v>-1488.9626141738045</v>
      </c>
      <c r="S52" s="193">
        <f>R52+'Analysis (Nothing)'!D13</f>
        <v>-106.26633868747967</v>
      </c>
      <c r="T52" s="193">
        <v>0</v>
      </c>
      <c r="U52" s="193">
        <f>V51*Configurations!$C$48</f>
        <v>546.48901692000004</v>
      </c>
      <c r="V52" s="193">
        <f t="shared" si="20"/>
        <v>1275.1410394800002</v>
      </c>
      <c r="W52" s="193">
        <v>0</v>
      </c>
      <c r="X52" s="193">
        <f>Y51*Configurations!$D$48</f>
        <v>150.49133661599998</v>
      </c>
      <c r="Y52" s="193">
        <f t="shared" si="21"/>
        <v>1354.422029544</v>
      </c>
      <c r="Z52" s="194">
        <v>0</v>
      </c>
      <c r="AA52" s="193">
        <f>AB51*Configurations!$E$48</f>
        <v>218.79167385600005</v>
      </c>
      <c r="AB52" s="193">
        <f t="shared" si="22"/>
        <v>875.16669542400018</v>
      </c>
      <c r="AC52" s="194">
        <f t="shared" si="23"/>
        <v>0</v>
      </c>
      <c r="AD52" s="193">
        <f>AC52*Constants!$D$23</f>
        <v>0</v>
      </c>
      <c r="AE52" s="193">
        <f t="shared" si="17"/>
        <v>-106.26633868747967</v>
      </c>
      <c r="AF52" s="195">
        <f>AE52*(1+Constants!$D$20)^-H52</f>
        <v>-90.697296851391144</v>
      </c>
    </row>
    <row r="53" spans="8:32" hidden="1" x14ac:dyDescent="0.3">
      <c r="H53" s="178">
        <v>9</v>
      </c>
      <c r="I53" s="192">
        <f>I52*(1-Constants!$D$11)</f>
        <v>0.95588957835755972</v>
      </c>
      <c r="J53" s="179">
        <f t="shared" si="18"/>
        <v>1241.173423934443</v>
      </c>
      <c r="K53" s="179">
        <f t="shared" si="19"/>
        <v>10513.391745713292</v>
      </c>
      <c r="L53" s="193">
        <f>IF(J53*'Grid Power'!K26&lt;0,0,J53*'Grid Power'!K26)</f>
        <v>216.3224489071288</v>
      </c>
      <c r="M53" s="194">
        <f>IF($C$20=15,Configurations!$F$59,0)</f>
        <v>2323.7759771349743</v>
      </c>
      <c r="N53" s="194">
        <f>N52*(1+Constants!$D$20)</f>
        <v>117.16593810022657</v>
      </c>
      <c r="O53" s="194">
        <v>0</v>
      </c>
      <c r="P53" s="194">
        <f>K53*'Grid Power'!L26</f>
        <v>1161.2163802916889</v>
      </c>
      <c r="Q53" s="194">
        <v>0</v>
      </c>
      <c r="R53" s="193">
        <f>SUM(P53:Q53)-SUM(L53:O53)</f>
        <v>-1496.0479838506408</v>
      </c>
      <c r="S53" s="193">
        <f>R53+'Analysis (Nothing)'!D14</f>
        <v>-49.445160906245746</v>
      </c>
      <c r="T53" s="193">
        <v>0</v>
      </c>
      <c r="U53" s="193">
        <f>V52*Configurations!$C$48</f>
        <v>382.54231184400004</v>
      </c>
      <c r="V53" s="193">
        <f t="shared" si="20"/>
        <v>892.59872763600015</v>
      </c>
      <c r="W53" s="193">
        <v>0</v>
      </c>
      <c r="X53" s="193">
        <f>Y52*Configurations!$D$48</f>
        <v>135.44220295440002</v>
      </c>
      <c r="Y53" s="193">
        <f t="shared" si="21"/>
        <v>1218.9798265896</v>
      </c>
      <c r="Z53" s="194">
        <v>0</v>
      </c>
      <c r="AA53" s="193">
        <f>AB52*Configurations!$E$48</f>
        <v>175.03333908480005</v>
      </c>
      <c r="AB53" s="193">
        <f t="shared" si="22"/>
        <v>700.13335633920019</v>
      </c>
      <c r="AC53" s="194">
        <f t="shared" si="23"/>
        <v>0</v>
      </c>
      <c r="AD53" s="193">
        <f>AC53*Constants!$D$23</f>
        <v>0</v>
      </c>
      <c r="AE53" s="193">
        <f t="shared" si="17"/>
        <v>-49.445160906245746</v>
      </c>
      <c r="AF53" s="195">
        <f>AE53*(1+Constants!$D$20)^-H53</f>
        <v>-41.373498760222041</v>
      </c>
    </row>
    <row r="54" spans="8:32" hidden="1" x14ac:dyDescent="0.3">
      <c r="H54" s="178">
        <v>10</v>
      </c>
      <c r="I54" s="192">
        <f>I53*(1-Constants!$D$11)</f>
        <v>0.95111013046577186</v>
      </c>
      <c r="J54" s="179">
        <f t="shared" si="18"/>
        <v>1246.8549338412543</v>
      </c>
      <c r="K54" s="179">
        <f t="shared" si="19"/>
        <v>10460.824786984726</v>
      </c>
      <c r="L54" s="193">
        <f>IF(J54*'Grid Power'!K27&lt;0,0,J54*'Grid Power'!K27)</f>
        <v>227.380652255261</v>
      </c>
      <c r="M54" s="194">
        <f>IF($C$20=15,Configurations!$F$59,0)</f>
        <v>2323.7759771349743</v>
      </c>
      <c r="N54" s="194">
        <f>N53*(1+Constants!$D$20)</f>
        <v>119.5092568622311</v>
      </c>
      <c r="O54" s="194">
        <f>Configurations!$D$63+Configurations!$D$65</f>
        <v>11260.8</v>
      </c>
      <c r="P54" s="194">
        <f>K54*'Grid Power'!L27</f>
        <v>1166.9644013741329</v>
      </c>
      <c r="Q54" s="194">
        <v>0</v>
      </c>
      <c r="R54" s="193">
        <f>SUM(P54:Q54)-SUM(L54:O54)</f>
        <v>-12764.501484878334</v>
      </c>
      <c r="S54" s="193">
        <f>R54+'Analysis (Nothing)'!D15</f>
        <v>-11250.878321732525</v>
      </c>
      <c r="T54" s="193">
        <f>Configurations!$D$63/2</f>
        <v>3312</v>
      </c>
      <c r="U54" s="193">
        <f>V53*Configurations!$C$48</f>
        <v>267.77961829080004</v>
      </c>
      <c r="V54" s="193">
        <f t="shared" si="20"/>
        <v>3936.8191093452001</v>
      </c>
      <c r="W54" s="193">
        <v>0</v>
      </c>
      <c r="X54" s="193">
        <f>Y53*Configurations!$D$48</f>
        <v>121.89798265896</v>
      </c>
      <c r="Y54" s="193">
        <f t="shared" si="21"/>
        <v>1097.0818439306399</v>
      </c>
      <c r="Z54" s="193">
        <f>Configurations!$E$71/2</f>
        <v>2318.4</v>
      </c>
      <c r="AA54" s="193">
        <f>AB53*Configurations!$E$48</f>
        <v>140.02667126784004</v>
      </c>
      <c r="AB54" s="193">
        <f t="shared" si="22"/>
        <v>2878.5066850713606</v>
      </c>
      <c r="AC54" s="194">
        <f t="shared" si="23"/>
        <v>0</v>
      </c>
      <c r="AD54" s="193">
        <f>AC54*Constants!$D$23</f>
        <v>0</v>
      </c>
      <c r="AE54" s="193">
        <f t="shared" si="17"/>
        <v>-11250.878321732525</v>
      </c>
      <c r="AF54" s="195">
        <f>AE54*(1+Constants!$D$20)^-H54</f>
        <v>-9229.638903335519</v>
      </c>
    </row>
    <row r="55" spans="8:32" hidden="1" x14ac:dyDescent="0.3">
      <c r="H55" s="178">
        <v>11</v>
      </c>
      <c r="I55" s="192">
        <f>I54*(1-Constants!$D$11)</f>
        <v>0.94635457981344295</v>
      </c>
      <c r="J55" s="179">
        <f t="shared" si="18"/>
        <v>1252.5080361985317</v>
      </c>
      <c r="K55" s="179">
        <f t="shared" si="19"/>
        <v>10408.520663049801</v>
      </c>
      <c r="L55" s="193">
        <f>IF(J55*'Grid Power'!K28&lt;0,0,J55*'Grid Power'!K28)</f>
        <v>239.01856324262081</v>
      </c>
      <c r="M55" s="194">
        <f>IF($C$20=15,Configurations!$F$59,0)</f>
        <v>2323.7759771349743</v>
      </c>
      <c r="N55" s="194">
        <f>N54*(1+Constants!$D$20)</f>
        <v>121.89944199947573</v>
      </c>
      <c r="O55" s="194">
        <v>0</v>
      </c>
      <c r="P55" s="194">
        <f>K55*'Grid Power'!L28</f>
        <v>1172.7408751609346</v>
      </c>
      <c r="Q55" s="194">
        <v>0</v>
      </c>
      <c r="R55" s="193">
        <f>SUM(P55:Q55)-SUM(L55:O55)</f>
        <v>-1511.9531072161362</v>
      </c>
      <c r="S55" s="193">
        <f>R55+'Analysis (Nothing)'!D16</f>
        <v>71.959792598444892</v>
      </c>
      <c r="T55" s="193">
        <f>Configurations!$D$63/2</f>
        <v>3312</v>
      </c>
      <c r="U55" s="193">
        <f>V54*Configurations!$C$48</f>
        <v>1181.04573280356</v>
      </c>
      <c r="V55" s="193">
        <f t="shared" si="20"/>
        <v>6067.7733765416406</v>
      </c>
      <c r="W55" s="193">
        <v>0</v>
      </c>
      <c r="X55" s="193">
        <f>Y54*Configurations!$D$48</f>
        <v>109.708184393064</v>
      </c>
      <c r="Y55" s="193">
        <f t="shared" si="21"/>
        <v>987.37365953757592</v>
      </c>
      <c r="Z55" s="193">
        <f>Configurations!$E$71/2</f>
        <v>2318.4</v>
      </c>
      <c r="AA55" s="193">
        <f>AB54*Configurations!$E$48</f>
        <v>575.7013370142721</v>
      </c>
      <c r="AB55" s="193">
        <f t="shared" si="22"/>
        <v>4621.2053480570885</v>
      </c>
      <c r="AC55" s="194">
        <f t="shared" si="23"/>
        <v>0</v>
      </c>
      <c r="AD55" s="193">
        <f>AC55*Constants!$D$23</f>
        <v>0</v>
      </c>
      <c r="AE55" s="193">
        <f t="shared" si="17"/>
        <v>71.959792598444892</v>
      </c>
      <c r="AF55" s="195">
        <f>AE55*(1+Constants!$D$20)^-H55</f>
        <v>57.874601487748102</v>
      </c>
    </row>
    <row r="56" spans="8:32" hidden="1" x14ac:dyDescent="0.3">
      <c r="H56" s="178">
        <v>12</v>
      </c>
      <c r="I56" s="192">
        <f>I55*(1-Constants!$D$11)</f>
        <v>0.94162280691437572</v>
      </c>
      <c r="J56" s="179">
        <f t="shared" si="18"/>
        <v>1258.1328730440225</v>
      </c>
      <c r="K56" s="179">
        <f t="shared" si="19"/>
        <v>10356.478059734553</v>
      </c>
      <c r="L56" s="193">
        <f>IF(J56*'Grid Power'!K29&lt;0,0,J56*'Grid Power'!K29)</f>
        <v>251.26694771115748</v>
      </c>
      <c r="M56" s="194">
        <f>IF($C$20=15,Configurations!$F$59,0)</f>
        <v>2323.7759771349743</v>
      </c>
      <c r="N56" s="194">
        <f>N55*(1+Constants!$D$20)</f>
        <v>124.33743083946524</v>
      </c>
      <c r="O56" s="194">
        <v>0</v>
      </c>
      <c r="P56" s="194">
        <f>K56*'Grid Power'!L29</f>
        <v>1178.5459424929813</v>
      </c>
      <c r="Q56" s="194">
        <v>0</v>
      </c>
      <c r="R56" s="193">
        <f>SUM(P56:Q56)-SUM(L56:O56)</f>
        <v>-1520.834413192616</v>
      </c>
      <c r="S56" s="193">
        <f>R56+'Analysis (Nothing)'!D17</f>
        <v>136.80108887850929</v>
      </c>
      <c r="T56" s="193">
        <v>0</v>
      </c>
      <c r="U56" s="193">
        <f>V55*Configurations!$C$48</f>
        <v>1820.3320129624922</v>
      </c>
      <c r="V56" s="193">
        <f t="shared" si="20"/>
        <v>4247.4413635791479</v>
      </c>
      <c r="W56" s="193">
        <v>0</v>
      </c>
      <c r="X56" s="193">
        <f>Y55*Configurations!$D$48</f>
        <v>98.737365953757603</v>
      </c>
      <c r="Y56" s="193">
        <f t="shared" si="21"/>
        <v>888.63629358381831</v>
      </c>
      <c r="Z56" s="194">
        <v>0</v>
      </c>
      <c r="AA56" s="193">
        <f>AB55*Configurations!$E$48</f>
        <v>924.24106961141774</v>
      </c>
      <c r="AB56" s="193">
        <f t="shared" si="22"/>
        <v>3696.964278445671</v>
      </c>
      <c r="AC56" s="194">
        <f t="shared" si="23"/>
        <v>0</v>
      </c>
      <c r="AD56" s="193">
        <f>AC56*Constants!$D$23</f>
        <v>0</v>
      </c>
      <c r="AE56" s="193">
        <f t="shared" si="17"/>
        <v>136.80108887850929</v>
      </c>
      <c r="AF56" s="195">
        <f>AE56*(1+Constants!$D$20)^-H56</f>
        <v>107.86672499284421</v>
      </c>
    </row>
    <row r="57" spans="8:32" hidden="1" x14ac:dyDescent="0.3">
      <c r="H57" s="178">
        <v>13</v>
      </c>
      <c r="I57" s="192">
        <f>I56*(1-Constants!$D$11)</f>
        <v>0.93691469287980389</v>
      </c>
      <c r="J57" s="179">
        <f t="shared" si="18"/>
        <v>1263.7295857052859</v>
      </c>
      <c r="K57" s="179">
        <f t="shared" si="19"/>
        <v>10304.69566943588</v>
      </c>
      <c r="L57" s="193">
        <f>IF(J57*'Grid Power'!K30&lt;0,0,J57*'Grid Power'!K30)</f>
        <v>264.15820877535612</v>
      </c>
      <c r="M57" s="194">
        <f>IF($C$20=15,Configurations!$F$59,0)</f>
        <v>2323.7759771349743</v>
      </c>
      <c r="N57" s="194">
        <f>N56*(1+Constants!$D$20)</f>
        <v>126.82417945625456</v>
      </c>
      <c r="O57" s="194">
        <v>0</v>
      </c>
      <c r="P57" s="194">
        <f>K57*'Grid Power'!L30</f>
        <v>1184.3797449083215</v>
      </c>
      <c r="Q57" s="194">
        <v>0</v>
      </c>
      <c r="R57" s="193">
        <f>SUM(P57:Q57)-SUM(L57:O57)</f>
        <v>-1530.3786204582636</v>
      </c>
      <c r="S57" s="193">
        <f>R57+'Analysis (Nothing)'!D18</f>
        <v>204.58408356054133</v>
      </c>
      <c r="T57" s="193">
        <v>0</v>
      </c>
      <c r="U57" s="193">
        <f>V56*Configurations!$C$48</f>
        <v>1274.2324090737443</v>
      </c>
      <c r="V57" s="193">
        <f t="shared" si="20"/>
        <v>2973.2089545054037</v>
      </c>
      <c r="W57" s="193">
        <v>0</v>
      </c>
      <c r="X57" s="193">
        <f>Y56*Configurations!$D$48</f>
        <v>88.863629358381843</v>
      </c>
      <c r="Y57" s="193">
        <f t="shared" si="21"/>
        <v>799.77266422543653</v>
      </c>
      <c r="Z57" s="194">
        <v>0</v>
      </c>
      <c r="AA57" s="193">
        <f>AB56*Configurations!$E$48</f>
        <v>739.39285568913419</v>
      </c>
      <c r="AB57" s="193">
        <f t="shared" si="22"/>
        <v>2957.5714227565368</v>
      </c>
      <c r="AC57" s="194">
        <f t="shared" si="23"/>
        <v>0</v>
      </c>
      <c r="AD57" s="193">
        <f>AC57*Constants!$D$23</f>
        <v>0</v>
      </c>
      <c r="AE57" s="193">
        <f t="shared" si="17"/>
        <v>204.58408356054133</v>
      </c>
      <c r="AF57" s="195">
        <f>AE57*(1+Constants!$D$20)^-H57</f>
        <v>158.15015070599432</v>
      </c>
    </row>
    <row r="58" spans="8:32" hidden="1" x14ac:dyDescent="0.3">
      <c r="H58" s="178">
        <v>14</v>
      </c>
      <c r="I58" s="192">
        <f>I57*(1-Constants!$D$11)</f>
        <v>0.9322301194154049</v>
      </c>
      <c r="J58" s="179">
        <f t="shared" si="18"/>
        <v>1269.2983148032433</v>
      </c>
      <c r="K58" s="179">
        <f t="shared" si="19"/>
        <v>10253.172191088701</v>
      </c>
      <c r="L58" s="193">
        <f>IF(J58*'Grid Power'!K31&lt;0,0,J58*'Grid Power'!K31)</f>
        <v>277.72647378167301</v>
      </c>
      <c r="M58" s="194">
        <f>IF($C$20=15,Configurations!$F$59,0)</f>
        <v>2323.7759771349743</v>
      </c>
      <c r="N58" s="194">
        <f>N57*(1+Constants!$D$20)</f>
        <v>129.36066304537965</v>
      </c>
      <c r="O58" s="194">
        <v>0</v>
      </c>
      <c r="P58" s="194">
        <f>K58*'Grid Power'!L31</f>
        <v>1190.2424246456178</v>
      </c>
      <c r="Q58" s="194">
        <v>0</v>
      </c>
      <c r="R58" s="193">
        <f>SUM(P58:Q58)-SUM(L58:O58)</f>
        <v>-1540.6206893164092</v>
      </c>
      <c r="S58" s="193">
        <f>R58+'Analysis (Nothing)'!D19</f>
        <v>275.45423535893201</v>
      </c>
      <c r="T58" s="193">
        <v>0</v>
      </c>
      <c r="U58" s="193">
        <f>V57*Configurations!$C$48</f>
        <v>891.96268635162107</v>
      </c>
      <c r="V58" s="193">
        <f t="shared" si="20"/>
        <v>2081.2462681537827</v>
      </c>
      <c r="W58" s="193">
        <v>0</v>
      </c>
      <c r="X58" s="193">
        <f>Y57*Configurations!$D$48</f>
        <v>79.977266422543664</v>
      </c>
      <c r="Y58" s="193">
        <f t="shared" si="21"/>
        <v>719.79539780289292</v>
      </c>
      <c r="Z58" s="194">
        <v>0</v>
      </c>
      <c r="AA58" s="193">
        <f>AB57*Configurations!$E$48</f>
        <v>591.51428455130736</v>
      </c>
      <c r="AB58" s="193">
        <f t="shared" si="22"/>
        <v>2366.0571382052294</v>
      </c>
      <c r="AC58" s="194">
        <f t="shared" si="23"/>
        <v>0</v>
      </c>
      <c r="AD58" s="193">
        <f>AC58*Constants!$D$23</f>
        <v>0</v>
      </c>
      <c r="AE58" s="193">
        <f t="shared" si="17"/>
        <v>275.45423535893201</v>
      </c>
      <c r="AF58" s="195">
        <f>AE58*(1+Constants!$D$20)^-H58</f>
        <v>208.75988539559907</v>
      </c>
    </row>
    <row r="59" spans="8:32" hidden="1" x14ac:dyDescent="0.3">
      <c r="H59" s="178">
        <v>15</v>
      </c>
      <c r="I59" s="192">
        <f>I58*(1-Constants!$D$11)</f>
        <v>0.92756896881832784</v>
      </c>
      <c r="J59" s="179">
        <f t="shared" si="18"/>
        <v>1274.8392002557107</v>
      </c>
      <c r="K59" s="179">
        <f t="shared" si="19"/>
        <v>10201.906330133257</v>
      </c>
      <c r="L59" s="193">
        <f>IF(J59*'Grid Power'!K32&lt;0,0,J59*'Grid Power'!K32)</f>
        <v>292.00768586932247</v>
      </c>
      <c r="M59" s="194">
        <f>IF($C$20=15,Configurations!$F$59,0)</f>
        <v>2323.7759771349743</v>
      </c>
      <c r="N59" s="194">
        <f>N58*(1+Constants!$D$20)</f>
        <v>131.94787630628724</v>
      </c>
      <c r="O59" s="194">
        <v>0</v>
      </c>
      <c r="P59" s="194">
        <f>K59*'Grid Power'!L32</f>
        <v>1196.1341246476136</v>
      </c>
      <c r="Q59" s="194">
        <v>0</v>
      </c>
      <c r="R59" s="193">
        <f>SUM(P59:Q59)-SUM(L59:O59)</f>
        <v>-1551.5974146629701</v>
      </c>
      <c r="S59" s="193">
        <f>R59+'Analysis (Nothing)'!D20</f>
        <v>349.5642946229259</v>
      </c>
      <c r="T59" s="193">
        <v>0</v>
      </c>
      <c r="U59" s="193">
        <f>V58*Configurations!$C$48</f>
        <v>624.37388044613476</v>
      </c>
      <c r="V59" s="193">
        <f t="shared" si="20"/>
        <v>1456.8723877076479</v>
      </c>
      <c r="W59" s="193">
        <v>0</v>
      </c>
      <c r="X59" s="193">
        <f>Y58*Configurations!$D$48</f>
        <v>71.979539780289301</v>
      </c>
      <c r="Y59" s="193">
        <f t="shared" si="21"/>
        <v>647.81585802260361</v>
      </c>
      <c r="Z59" s="194">
        <v>0</v>
      </c>
      <c r="AA59" s="193">
        <f>AB58*Configurations!$E$48</f>
        <v>473.21142764104593</v>
      </c>
      <c r="AB59" s="193">
        <f t="shared" si="22"/>
        <v>1892.8457105641835</v>
      </c>
      <c r="AC59" s="194">
        <f t="shared" si="23"/>
        <v>0</v>
      </c>
      <c r="AD59" s="193">
        <f>AC59*Constants!$D$23</f>
        <v>0</v>
      </c>
      <c r="AE59" s="193">
        <f t="shared" si="17"/>
        <v>349.5642946229259</v>
      </c>
      <c r="AF59" s="195">
        <f>AE59*(1+Constants!$D$20)^-H59</f>
        <v>259.73141998288048</v>
      </c>
    </row>
    <row r="60" spans="8:32" hidden="1" x14ac:dyDescent="0.3">
      <c r="H60" s="178">
        <v>16</v>
      </c>
      <c r="I60" s="192">
        <f>I59*(1-Constants!$D$11)</f>
        <v>0.92293112397423616</v>
      </c>
      <c r="J60" s="179">
        <f t="shared" si="18"/>
        <v>1280.3523812809156</v>
      </c>
      <c r="K60" s="179">
        <f t="shared" si="19"/>
        <v>10150.89679848259</v>
      </c>
      <c r="L60" s="193">
        <f>IF(J60*'Grid Power'!K33&lt;0,0,J60*'Grid Power'!K33)</f>
        <v>307.03970037489148</v>
      </c>
      <c r="M60" s="194">
        <v>0</v>
      </c>
      <c r="N60" s="194">
        <f>N59*(1+Constants!$D$20)</f>
        <v>134.58683383241299</v>
      </c>
      <c r="O60" s="194">
        <v>0</v>
      </c>
      <c r="P60" s="194">
        <f>K60*'Grid Power'!L33</f>
        <v>1202.0549885646192</v>
      </c>
      <c r="Q60" s="194">
        <v>0</v>
      </c>
      <c r="R60" s="193">
        <f>SUM(P60:Q60)-SUM(L60:O60)</f>
        <v>760.42845435731465</v>
      </c>
      <c r="S60" s="193">
        <f>R60+'Analysis (Nothing)'!D21</f>
        <v>2750.8506474648493</v>
      </c>
      <c r="T60" s="193">
        <v>0</v>
      </c>
      <c r="U60" s="193">
        <f>V59*Configurations!$C$48</f>
        <v>437.06171631229438</v>
      </c>
      <c r="V60" s="193">
        <f t="shared" si="20"/>
        <v>1019.8106713953536</v>
      </c>
      <c r="W60" s="193">
        <v>0</v>
      </c>
      <c r="X60" s="193">
        <f>Y59*Configurations!$D$48</f>
        <v>64.781585802260366</v>
      </c>
      <c r="Y60" s="193">
        <f t="shared" si="21"/>
        <v>583.03427222034327</v>
      </c>
      <c r="Z60" s="194">
        <v>0</v>
      </c>
      <c r="AA60" s="193">
        <f>AB59*Configurations!$E$48</f>
        <v>378.56914211283674</v>
      </c>
      <c r="AB60" s="193">
        <f t="shared" si="22"/>
        <v>1514.2765684513467</v>
      </c>
      <c r="AC60" s="194">
        <f t="shared" si="23"/>
        <v>1870.4382032374579</v>
      </c>
      <c r="AD60" s="193">
        <f>AC60*Constants!$D$23</f>
        <v>187.04382032374579</v>
      </c>
      <c r="AE60" s="193">
        <f t="shared" si="17"/>
        <v>2563.8068271411034</v>
      </c>
      <c r="AF60" s="195">
        <f>AE60*(1+Constants!$D$20)^-H60</f>
        <v>1867.5943504029108</v>
      </c>
    </row>
    <row r="61" spans="8:32" hidden="1" x14ac:dyDescent="0.3">
      <c r="H61" s="178">
        <v>17</v>
      </c>
      <c r="I61" s="192">
        <f>I60*(1-Constants!$D$11)</f>
        <v>0.91831646835436498</v>
      </c>
      <c r="J61" s="179">
        <f t="shared" si="18"/>
        <v>1285.8379964009946</v>
      </c>
      <c r="K61" s="179">
        <f t="shared" si="19"/>
        <v>10100.142314490176</v>
      </c>
      <c r="L61" s="193">
        <f>IF(J61*'Grid Power'!K34&lt;0,0,J61*'Grid Power'!K34)</f>
        <v>322.86238633598634</v>
      </c>
      <c r="M61" s="194">
        <v>0</v>
      </c>
      <c r="N61" s="194">
        <f>N60*(1+Constants!$D$20)</f>
        <v>137.27857050906127</v>
      </c>
      <c r="O61" s="194">
        <v>0</v>
      </c>
      <c r="P61" s="194">
        <f>K61*'Grid Power'!L34</f>
        <v>1208.005160758014</v>
      </c>
      <c r="Q61" s="194">
        <v>0</v>
      </c>
      <c r="R61" s="193">
        <f>SUM(P61:Q61)-SUM(L61:O61)</f>
        <v>747.86420391296633</v>
      </c>
      <c r="S61" s="193">
        <f>R61+'Analysis (Nothing)'!D22</f>
        <v>2831.9297927233015</v>
      </c>
      <c r="T61" s="193">
        <v>0</v>
      </c>
      <c r="U61" s="193">
        <f>V60*Configurations!$C$48</f>
        <v>305.94320141860607</v>
      </c>
      <c r="V61" s="193">
        <f t="shared" si="20"/>
        <v>713.86746997674754</v>
      </c>
      <c r="W61" s="193">
        <v>0</v>
      </c>
      <c r="X61" s="193">
        <f>Y60*Configurations!$D$48</f>
        <v>58.30342722203433</v>
      </c>
      <c r="Y61" s="193">
        <f t="shared" si="21"/>
        <v>524.73084499830895</v>
      </c>
      <c r="Z61" s="194">
        <v>0</v>
      </c>
      <c r="AA61" s="193">
        <f>AB60*Configurations!$E$48</f>
        <v>302.85531369026938</v>
      </c>
      <c r="AB61" s="193">
        <f t="shared" si="22"/>
        <v>1211.4212547610773</v>
      </c>
      <c r="AC61" s="194">
        <f t="shared" si="23"/>
        <v>2164.8278503923921</v>
      </c>
      <c r="AD61" s="193">
        <f>AC61*Constants!$D$23</f>
        <v>216.48278503923922</v>
      </c>
      <c r="AE61" s="193">
        <f t="shared" si="17"/>
        <v>2615.4470076840621</v>
      </c>
      <c r="AF61" s="195">
        <f>AE61*(1+Constants!$D$20)^-H61</f>
        <v>1867.8543369988981</v>
      </c>
    </row>
    <row r="62" spans="8:32" hidden="1" x14ac:dyDescent="0.3">
      <c r="H62" s="178">
        <v>18</v>
      </c>
      <c r="I62" s="192">
        <f>I61*(1-Constants!$D$11)</f>
        <v>0.91372488601259316</v>
      </c>
      <c r="J62" s="179">
        <f t="shared" si="18"/>
        <v>1291.2961834454732</v>
      </c>
      <c r="K62" s="179">
        <f t="shared" si="19"/>
        <v>10049.641602917725</v>
      </c>
      <c r="L62" s="193">
        <f>IF(J62*'Grid Power'!K35&lt;0,0,J62*'Grid Power'!K35)</f>
        <v>339.51773336250579</v>
      </c>
      <c r="M62" s="194">
        <v>0</v>
      </c>
      <c r="N62" s="194">
        <f>N61*(1+Constants!$D$20)</f>
        <v>140.02414191924251</v>
      </c>
      <c r="O62" s="194">
        <v>0</v>
      </c>
      <c r="P62" s="194">
        <f>K62*'Grid Power'!L35</f>
        <v>1213.9847863037662</v>
      </c>
      <c r="Q62" s="194">
        <v>0</v>
      </c>
      <c r="R62" s="193">
        <f>SUM(P62:Q62)-SUM(L62:O62)</f>
        <v>734.44291102201794</v>
      </c>
      <c r="S62" s="193">
        <f>R62+'Analysis (Nothing)'!D23</f>
        <v>2916.754609720791</v>
      </c>
      <c r="T62" s="193">
        <v>0</v>
      </c>
      <c r="U62" s="193">
        <f>V61*Configurations!$C$48</f>
        <v>214.16024099302425</v>
      </c>
      <c r="V62" s="193">
        <f t="shared" si="20"/>
        <v>499.70722898372333</v>
      </c>
      <c r="W62" s="193">
        <v>0</v>
      </c>
      <c r="X62" s="193">
        <f>Y61*Configurations!$D$48</f>
        <v>52.473084499830897</v>
      </c>
      <c r="Y62" s="193">
        <f t="shared" si="21"/>
        <v>472.25776049847804</v>
      </c>
      <c r="Z62" s="194">
        <v>0</v>
      </c>
      <c r="AA62" s="193">
        <f>AB61*Configurations!$E$48</f>
        <v>242.28425095221547</v>
      </c>
      <c r="AB62" s="193">
        <f t="shared" si="22"/>
        <v>969.13700380886189</v>
      </c>
      <c r="AC62" s="194">
        <f t="shared" si="23"/>
        <v>2407.8370332757204</v>
      </c>
      <c r="AD62" s="193">
        <f>AC62*Constants!$D$23</f>
        <v>240.78370332757206</v>
      </c>
      <c r="AE62" s="193">
        <f t="shared" si="17"/>
        <v>2675.9709063932191</v>
      </c>
      <c r="AF62" s="195">
        <f>AE62*(1+Constants!$D$20)^-H62</f>
        <v>1873.6061172464688</v>
      </c>
    </row>
    <row r="63" spans="8:32" hidden="1" x14ac:dyDescent="0.3">
      <c r="H63" s="178">
        <v>19</v>
      </c>
      <c r="I63" s="192">
        <f>I62*(1-Constants!$D$11)</f>
        <v>0.90915626158253016</v>
      </c>
      <c r="J63" s="179">
        <f t="shared" si="18"/>
        <v>1296.7270795547295</v>
      </c>
      <c r="K63" s="179">
        <f t="shared" si="19"/>
        <v>9999.3933949031361</v>
      </c>
      <c r="L63" s="193">
        <f>IF(J63*'Grid Power'!K36&lt;0,0,J63*'Grid Power'!K36)</f>
        <v>357.04996415823501</v>
      </c>
      <c r="M63" s="194">
        <v>0</v>
      </c>
      <c r="N63" s="194">
        <f>N62*(1+Constants!$D$20)</f>
        <v>142.82462475762736</v>
      </c>
      <c r="O63" s="194">
        <v>0</v>
      </c>
      <c r="P63" s="194">
        <f>K63*'Grid Power'!L36</f>
        <v>1219.9940109959698</v>
      </c>
      <c r="Q63" s="194">
        <v>0</v>
      </c>
      <c r="R63" s="193">
        <f>SUM(P63:Q63)-SUM(L63:O63)</f>
        <v>720.11942208010737</v>
      </c>
      <c r="S63" s="193">
        <f>R63+'Analysis (Nothing)'!D24</f>
        <v>3005.5108750985291</v>
      </c>
      <c r="T63" s="193">
        <v>0</v>
      </c>
      <c r="U63" s="193">
        <f>V62*Configurations!$C$48</f>
        <v>149.912168695117</v>
      </c>
      <c r="V63" s="193">
        <f t="shared" si="20"/>
        <v>349.79506028860635</v>
      </c>
      <c r="W63" s="193">
        <v>0</v>
      </c>
      <c r="X63" s="193">
        <f>Y62*Configurations!$D$48</f>
        <v>47.225776049847809</v>
      </c>
      <c r="Y63" s="193">
        <f t="shared" si="21"/>
        <v>425.03198444863023</v>
      </c>
      <c r="Z63" s="194">
        <v>0</v>
      </c>
      <c r="AA63" s="193">
        <f>AB62*Configurations!$E$48</f>
        <v>193.8274007617724</v>
      </c>
      <c r="AB63" s="193">
        <f t="shared" si="22"/>
        <v>775.30960304708947</v>
      </c>
      <c r="AC63" s="194">
        <f t="shared" si="23"/>
        <v>2614.5455295917918</v>
      </c>
      <c r="AD63" s="193">
        <f>AC63*Constants!$D$23</f>
        <v>261.45455295917918</v>
      </c>
      <c r="AE63" s="193">
        <f>S63-AD63</f>
        <v>2744.05632213935</v>
      </c>
      <c r="AF63" s="195">
        <f>AE63*(1+Constants!$D$20)^-H63</f>
        <v>1883.6046660583866</v>
      </c>
    </row>
    <row r="64" spans="8:32" hidden="1" x14ac:dyDescent="0.3">
      <c r="H64" s="178">
        <v>20</v>
      </c>
      <c r="I64" s="192">
        <f>I63*(1-Constants!$D$11)</f>
        <v>0.90461048027461755</v>
      </c>
      <c r="J64" s="179">
        <f t="shared" si="18"/>
        <v>1302.1308211834394</v>
      </c>
      <c r="K64" s="179">
        <f t="shared" si="19"/>
        <v>9949.3964279286211</v>
      </c>
      <c r="L64" s="193">
        <f>IF(J64*'Grid Power'!K37&lt;0,0,J64*'Grid Power'!K37)</f>
        <v>375.50565299028011</v>
      </c>
      <c r="M64" s="194">
        <v>0</v>
      </c>
      <c r="N64" s="194">
        <f>N63*(1+Constants!$D$20)</f>
        <v>145.6811172527799</v>
      </c>
      <c r="O64" s="194">
        <f>Configurations!$D$63+Configurations!$D$65</f>
        <v>11260.8</v>
      </c>
      <c r="P64" s="194">
        <f>K64*'Grid Power'!L37</f>
        <v>1226.0329813504</v>
      </c>
      <c r="Q64" s="194">
        <v>0</v>
      </c>
      <c r="R64" s="193">
        <f>SUM(P64:Q64)-SUM(L64:O64)</f>
        <v>-10555.953788892661</v>
      </c>
      <c r="S64" s="193">
        <f>R64+'Analysis (Nothing)'!D25</f>
        <v>-8162.4063132151969</v>
      </c>
      <c r="T64" s="193">
        <f>Configurations!$D$63/2</f>
        <v>3312</v>
      </c>
      <c r="U64" s="193">
        <f>V63*Configurations!$C$48</f>
        <v>104.93851808658191</v>
      </c>
      <c r="V64" s="193">
        <f t="shared" si="20"/>
        <v>3556.8565422020242</v>
      </c>
      <c r="W64" s="193">
        <v>0</v>
      </c>
      <c r="X64" s="193">
        <f>Y63*Configurations!$D$48</f>
        <v>42.503198444863024</v>
      </c>
      <c r="Y64" s="193">
        <f t="shared" si="21"/>
        <v>382.52878600376721</v>
      </c>
      <c r="Z64" s="193">
        <f>Configurations!$E$71/2</f>
        <v>2318.4</v>
      </c>
      <c r="AA64" s="193">
        <f>AB63*Configurations!$E$48</f>
        <v>155.06192060941791</v>
      </c>
      <c r="AB64" s="193">
        <f t="shared" si="22"/>
        <v>2938.6476824376714</v>
      </c>
      <c r="AC64" s="194">
        <f t="shared" si="23"/>
        <v>0</v>
      </c>
      <c r="AD64" s="193">
        <f>AC64*Constants!$D$23</f>
        <v>0</v>
      </c>
      <c r="AE64" s="193">
        <f>S64-AD64</f>
        <v>-8162.4063132151969</v>
      </c>
      <c r="AF64" s="195">
        <f>AE64*(1+Constants!$D$20)^-H64</f>
        <v>-5493.0654579740585</v>
      </c>
    </row>
    <row r="65" spans="8:32" hidden="1" x14ac:dyDescent="0.3">
      <c r="H65" s="178">
        <v>21</v>
      </c>
      <c r="I65" s="192">
        <f>I64*(1-Constants!$D$11)</f>
        <v>0.90008742787324447</v>
      </c>
      <c r="J65" s="179">
        <f t="shared" si="18"/>
        <v>1307.5075441040058</v>
      </c>
      <c r="K65" s="179">
        <f t="shared" si="19"/>
        <v>9899.6494457889785</v>
      </c>
      <c r="L65" s="193">
        <f>IF(J65*'Grid Power'!K38&lt;0,0,J65*'Grid Power'!K38)</f>
        <v>394.93385041947329</v>
      </c>
      <c r="M65" s="194">
        <v>0</v>
      </c>
      <c r="N65" s="194">
        <f>N64*(1+Constants!$D$20)</f>
        <v>148.59473959783551</v>
      </c>
      <c r="O65" s="194">
        <v>0</v>
      </c>
      <c r="P65" s="194">
        <f>K65*'Grid Power'!L38</f>
        <v>1232.1018446080845</v>
      </c>
      <c r="Q65" s="194">
        <v>0</v>
      </c>
      <c r="R65" s="193">
        <f>SUM(P65:Q65)-SUM(L65:O65)</f>
        <v>688.57325459077572</v>
      </c>
      <c r="S65" s="193">
        <f>R65+'Analysis (Nothing)'!D26</f>
        <v>3195.6079333711068</v>
      </c>
      <c r="T65" s="193">
        <f>Configurations!$D$63/2</f>
        <v>3312</v>
      </c>
      <c r="U65" s="193">
        <f>V64*Configurations!$C$48</f>
        <v>1067.0569626606073</v>
      </c>
      <c r="V65" s="193">
        <f t="shared" si="20"/>
        <v>5801.7995795414163</v>
      </c>
      <c r="W65" s="193">
        <v>0</v>
      </c>
      <c r="X65" s="193">
        <f>Y64*Configurations!$D$48</f>
        <v>38.252878600376725</v>
      </c>
      <c r="Y65" s="193">
        <f t="shared" si="21"/>
        <v>344.27590740339048</v>
      </c>
      <c r="Z65" s="193">
        <f>Configurations!$E$71/2</f>
        <v>2318.4</v>
      </c>
      <c r="AA65" s="193">
        <f>AB64*Configurations!$E$48</f>
        <v>587.72953648753435</v>
      </c>
      <c r="AB65" s="193">
        <f t="shared" si="22"/>
        <v>4669.3181459501366</v>
      </c>
      <c r="AC65" s="194">
        <f t="shared" si="23"/>
        <v>1502.5685556225883</v>
      </c>
      <c r="AD65" s="193">
        <f>AC65*Constants!$D$23</f>
        <v>150.25685556225883</v>
      </c>
      <c r="AE65" s="193">
        <f t="shared" ref="AE65:AE84" si="24">S65-AD65</f>
        <v>3045.351077808848</v>
      </c>
      <c r="AF65" s="195">
        <f>AE65*(1+Constants!$D$20)^-H65</f>
        <v>2009.2489947206677</v>
      </c>
    </row>
    <row r="66" spans="8:32" hidden="1" x14ac:dyDescent="0.3">
      <c r="H66" s="178">
        <v>22</v>
      </c>
      <c r="I66" s="192">
        <f>I65*(1-Constants!$D$11)</f>
        <v>0.89558699073387826</v>
      </c>
      <c r="J66" s="179">
        <f t="shared" si="18"/>
        <v>1312.8573834099693</v>
      </c>
      <c r="K66" s="179">
        <f t="shared" si="19"/>
        <v>9850.1511985600337</v>
      </c>
      <c r="L66" s="193">
        <f>IF(J66*'Grid Power'!K39&lt;0,0,J66*'Grid Power'!K39)</f>
        <v>415.3862146212989</v>
      </c>
      <c r="M66" s="194">
        <v>0</v>
      </c>
      <c r="N66" s="194">
        <f>N65*(1+Constants!$D$20)</f>
        <v>151.56663438979223</v>
      </c>
      <c r="O66" s="194">
        <v>0</v>
      </c>
      <c r="P66" s="194">
        <f>K66*'Grid Power'!L39</f>
        <v>1238.2007487388944</v>
      </c>
      <c r="Q66" s="194">
        <v>0</v>
      </c>
      <c r="R66" s="193">
        <f>SUM(P66:Q66)-SUM(L66:O66)</f>
        <v>671.24789972780331</v>
      </c>
      <c r="S66" s="193">
        <f>R66+'Analysis (Nothing)'!D27</f>
        <v>3297.3687871697994</v>
      </c>
      <c r="T66" s="193">
        <v>0</v>
      </c>
      <c r="U66" s="193">
        <f>V65*Configurations!$C$48</f>
        <v>1740.5398738624249</v>
      </c>
      <c r="V66" s="193">
        <f t="shared" si="20"/>
        <v>4061.2597056789914</v>
      </c>
      <c r="W66" s="193">
        <v>0</v>
      </c>
      <c r="X66" s="193">
        <f>Y65*Configurations!$D$48</f>
        <v>34.427590740339049</v>
      </c>
      <c r="Y66" s="193">
        <f t="shared" si="21"/>
        <v>309.84831666305143</v>
      </c>
      <c r="Z66" s="194">
        <v>0</v>
      </c>
      <c r="AA66" s="193">
        <f>AB65*Configurations!$E$48</f>
        <v>933.86362919002738</v>
      </c>
      <c r="AB66" s="193">
        <f t="shared" si="22"/>
        <v>3735.4545167601091</v>
      </c>
      <c r="AC66" s="194">
        <f t="shared" si="23"/>
        <v>588.53769337700805</v>
      </c>
      <c r="AD66" s="193">
        <f>AC66*Constants!$D$23</f>
        <v>58.853769337700811</v>
      </c>
      <c r="AE66" s="193">
        <f t="shared" si="24"/>
        <v>3238.5150178320987</v>
      </c>
      <c r="AF66" s="195">
        <f>AE66*(1+Constants!$D$20)^-H66</f>
        <v>2094.797932373061</v>
      </c>
    </row>
    <row r="67" spans="8:32" hidden="1" x14ac:dyDescent="0.3">
      <c r="H67" s="178">
        <v>23</v>
      </c>
      <c r="I67" s="192">
        <f>I66*(1-Constants!$D$11)</f>
        <v>0.89110905578020883</v>
      </c>
      <c r="J67" s="179">
        <f t="shared" si="18"/>
        <v>1318.180473519403</v>
      </c>
      <c r="K67" s="179">
        <f t="shared" si="19"/>
        <v>9800.9004425672338</v>
      </c>
      <c r="L67" s="193">
        <f>IF(J67*'Grid Power'!K40&lt;0,0,J67*'Grid Power'!K40)</f>
        <v>436.91714964417315</v>
      </c>
      <c r="M67" s="194">
        <v>0</v>
      </c>
      <c r="N67" s="194">
        <f>N66*(1+Constants!$D$20)</f>
        <v>154.59796707758807</v>
      </c>
      <c r="O67" s="194">
        <v>0</v>
      </c>
      <c r="P67" s="194">
        <f>K67*'Grid Power'!L40</f>
        <v>1244.3298424451521</v>
      </c>
      <c r="Q67" s="194">
        <v>0</v>
      </c>
      <c r="R67" s="193">
        <f>SUM(P67:Q67)-SUM(L67:O67)</f>
        <v>652.81472572339089</v>
      </c>
      <c r="S67" s="193">
        <f>R67+'Analysis (Nothing)'!D28</f>
        <v>3403.9022221497626</v>
      </c>
      <c r="T67" s="193">
        <v>0</v>
      </c>
      <c r="U67" s="193">
        <f>V66*Configurations!$C$48</f>
        <v>1218.3779117036975</v>
      </c>
      <c r="V67" s="193">
        <f t="shared" si="20"/>
        <v>2842.8817939752939</v>
      </c>
      <c r="W67" s="193">
        <v>0</v>
      </c>
      <c r="X67" s="193">
        <f>Y66*Configurations!$D$48</f>
        <v>30.984831666305144</v>
      </c>
      <c r="Y67" s="193">
        <f t="shared" si="21"/>
        <v>278.86348499674631</v>
      </c>
      <c r="Z67" s="194">
        <v>0</v>
      </c>
      <c r="AA67" s="193">
        <f>AB66*Configurations!$E$48</f>
        <v>747.09090335202188</v>
      </c>
      <c r="AB67" s="193">
        <f t="shared" si="22"/>
        <v>2988.3636134080871</v>
      </c>
      <c r="AC67" s="194">
        <f t="shared" si="23"/>
        <v>1407.448575427738</v>
      </c>
      <c r="AD67" s="193">
        <f>AC67*Constants!$D$23</f>
        <v>140.74485754277381</v>
      </c>
      <c r="AE67" s="193">
        <f t="shared" si="24"/>
        <v>3263.1573646069887</v>
      </c>
      <c r="AF67" s="195">
        <f>AE67*(1+Constants!$D$20)^-H67</f>
        <v>2069.3505531440978</v>
      </c>
    </row>
    <row r="68" spans="8:32" hidden="1" x14ac:dyDescent="0.3">
      <c r="H68" s="178">
        <v>24</v>
      </c>
      <c r="I68" s="192">
        <f>I67*(1-Constants!$D$11)</f>
        <v>0.88665351050130781</v>
      </c>
      <c r="J68" s="179">
        <f t="shared" si="18"/>
        <v>1323.4769481782896</v>
      </c>
      <c r="K68" s="179">
        <f t="shared" si="19"/>
        <v>9751.8959403543977</v>
      </c>
      <c r="L68" s="193">
        <f>IF(J68*'Grid Power'!K41&lt;0,0,J68*'Grid Power'!K41)</f>
        <v>459.58395097009281</v>
      </c>
      <c r="M68" s="194">
        <v>0</v>
      </c>
      <c r="N68" s="194">
        <f>N67*(1+Constants!$D$20)</f>
        <v>157.68992641913982</v>
      </c>
      <c r="O68" s="194">
        <v>0</v>
      </c>
      <c r="P68" s="194">
        <f>K68*'Grid Power'!L41</f>
        <v>1250.4892751652555</v>
      </c>
      <c r="Q68" s="194">
        <v>0</v>
      </c>
      <c r="R68" s="193">
        <f>SUM(P68:Q68)-SUM(L68:O68)</f>
        <v>633.21539777602288</v>
      </c>
      <c r="S68" s="193">
        <f>R68+'Analysis (Nothing)'!D29</f>
        <v>3515.4455580069198</v>
      </c>
      <c r="T68" s="193">
        <v>0</v>
      </c>
      <c r="U68" s="193">
        <f>V67*Configurations!$C$48</f>
        <v>852.86453819258816</v>
      </c>
      <c r="V68" s="193">
        <f t="shared" si="20"/>
        <v>1990.0172557827059</v>
      </c>
      <c r="W68" s="193">
        <v>0</v>
      </c>
      <c r="X68" s="193">
        <f>Y67*Configurations!$D$48</f>
        <v>27.886348499674632</v>
      </c>
      <c r="Y68" s="193">
        <f t="shared" si="21"/>
        <v>250.97713649707168</v>
      </c>
      <c r="Z68" s="194">
        <v>0</v>
      </c>
      <c r="AA68" s="193">
        <f>AB67*Configurations!$E$48</f>
        <v>597.67272268161742</v>
      </c>
      <c r="AB68" s="193">
        <f t="shared" si="22"/>
        <v>2390.6908907264697</v>
      </c>
      <c r="AC68" s="194">
        <f t="shared" si="23"/>
        <v>2037.0219486330398</v>
      </c>
      <c r="AD68" s="193">
        <f>AC68*Constants!$D$23</f>
        <v>203.70219486330399</v>
      </c>
      <c r="AE68" s="193">
        <f t="shared" si="24"/>
        <v>3311.7433631436156</v>
      </c>
      <c r="AF68" s="195">
        <f>AE68*(1+Constants!$D$20)^-H68</f>
        <v>2058.9820114052427</v>
      </c>
    </row>
    <row r="69" spans="8:32" hidden="1" x14ac:dyDescent="0.3">
      <c r="H69" s="178">
        <v>25</v>
      </c>
      <c r="I69" s="192">
        <f>I68*(1-Constants!$D$11)</f>
        <v>0.8822202429488013</v>
      </c>
      <c r="J69" s="179">
        <f t="shared" si="18"/>
        <v>1328.7469404638816</v>
      </c>
      <c r="K69" s="179">
        <f t="shared" si="19"/>
        <v>9703.1364606526258</v>
      </c>
      <c r="L69" s="193">
        <f>IF(J69*'Grid Power'!K42&lt;0,0,J69*'Grid Power'!K42)</f>
        <v>483.44695876180151</v>
      </c>
      <c r="M69" s="194">
        <v>0</v>
      </c>
      <c r="N69" s="194">
        <f>N68*(1+Constants!$D$20)</f>
        <v>160.84372494752262</v>
      </c>
      <c r="O69" s="194">
        <v>0</v>
      </c>
      <c r="P69" s="194">
        <f>K69*'Grid Power'!L42</f>
        <v>1256.6791970773236</v>
      </c>
      <c r="Q69" s="194">
        <v>0</v>
      </c>
      <c r="R69" s="193">
        <f>SUM(P69:Q69)-SUM(L69:O69)</f>
        <v>612.38851336799939</v>
      </c>
      <c r="S69" s="193">
        <f>R69+'Analysis (Nothing)'!D30</f>
        <v>3632.248031690161</v>
      </c>
      <c r="T69" s="193">
        <v>0</v>
      </c>
      <c r="U69" s="193">
        <f>V68*Configurations!$C$48</f>
        <v>597.0051767348117</v>
      </c>
      <c r="V69" s="193">
        <f t="shared" si="20"/>
        <v>1393.0120790478941</v>
      </c>
      <c r="W69" s="193">
        <v>0</v>
      </c>
      <c r="X69" s="193">
        <f>Y68*Configurations!$D$48</f>
        <v>25.09771364970717</v>
      </c>
      <c r="Y69" s="193">
        <f t="shared" si="21"/>
        <v>225.87942284736451</v>
      </c>
      <c r="Z69" s="194">
        <v>0</v>
      </c>
      <c r="AA69" s="193">
        <f>AB68*Configurations!$E$48</f>
        <v>478.13817814529398</v>
      </c>
      <c r="AB69" s="193">
        <f t="shared" si="22"/>
        <v>1912.5527125811757</v>
      </c>
      <c r="AC69" s="194">
        <f t="shared" si="23"/>
        <v>2532.0069631603483</v>
      </c>
      <c r="AD69" s="193">
        <f>AC69*Constants!$D$23</f>
        <v>253.20069631603485</v>
      </c>
      <c r="AE69" s="193">
        <f t="shared" si="24"/>
        <v>3379.0473353741263</v>
      </c>
      <c r="AF69" s="195">
        <f>AE69*(1+Constants!$D$20)^-H69</f>
        <v>2059.6336638868538</v>
      </c>
    </row>
    <row r="70" spans="8:32" hidden="1" x14ac:dyDescent="0.3">
      <c r="H70" s="178">
        <v>26</v>
      </c>
      <c r="I70" s="192">
        <f>I69*(1-Constants!$D$11)</f>
        <v>0.87780914173405733</v>
      </c>
      <c r="J70" s="179">
        <f t="shared" si="18"/>
        <v>1333.9905827880457</v>
      </c>
      <c r="K70" s="179">
        <f t="shared" si="19"/>
        <v>9654.6207783493628</v>
      </c>
      <c r="L70" s="193">
        <f>IF(J70*'Grid Power'!K43&lt;0,0,J70*'Grid Power'!K43)</f>
        <v>508.56971920075927</v>
      </c>
      <c r="M70" s="194">
        <v>0</v>
      </c>
      <c r="N70" s="194">
        <f>N69*(1+Constants!$D$20)</f>
        <v>164.06059944647308</v>
      </c>
      <c r="O70" s="194">
        <v>0</v>
      </c>
      <c r="P70" s="194">
        <f>K70*'Grid Power'!L43</f>
        <v>1262.8997591028563</v>
      </c>
      <c r="Q70" s="194">
        <v>0</v>
      </c>
      <c r="R70" s="193">
        <f>SUM(P70:Q70)-SUM(L70:O70)</f>
        <v>590.26944045562391</v>
      </c>
      <c r="S70" s="193">
        <f>R70+'Analysis (Nothing)'!D31</f>
        <v>3754.5713977699343</v>
      </c>
      <c r="T70" s="193">
        <v>0</v>
      </c>
      <c r="U70" s="193">
        <f>V69*Configurations!$C$48</f>
        <v>417.90362371436822</v>
      </c>
      <c r="V70" s="193">
        <f t="shared" si="20"/>
        <v>975.10845533352585</v>
      </c>
      <c r="W70" s="193">
        <v>0</v>
      </c>
      <c r="X70" s="193">
        <f>Y69*Configurations!$D$48</f>
        <v>22.587942284736453</v>
      </c>
      <c r="Y70" s="193">
        <f t="shared" si="21"/>
        <v>203.29148056262807</v>
      </c>
      <c r="Z70" s="194">
        <v>0</v>
      </c>
      <c r="AA70" s="193">
        <f>AB69*Configurations!$E$48</f>
        <v>382.51054251623515</v>
      </c>
      <c r="AB70" s="193">
        <f t="shared" si="22"/>
        <v>1530.0421700649406</v>
      </c>
      <c r="AC70" s="194">
        <f t="shared" si="23"/>
        <v>2931.5692892545944</v>
      </c>
      <c r="AD70" s="193">
        <f>AC70*Constants!$D$23</f>
        <v>293.15692892545945</v>
      </c>
      <c r="AE70" s="193">
        <f t="shared" si="24"/>
        <v>3461.4144688444749</v>
      </c>
      <c r="AF70" s="195">
        <f>AE70*(1+Constants!$D$20)^-H70</f>
        <v>2068.4695827979945</v>
      </c>
    </row>
    <row r="71" spans="8:32" hidden="1" x14ac:dyDescent="0.3">
      <c r="H71" s="178">
        <v>27</v>
      </c>
      <c r="I71" s="192">
        <f>I70*(1-Constants!$D$11)</f>
        <v>0.87342009602538706</v>
      </c>
      <c r="J71" s="179">
        <f t="shared" si="18"/>
        <v>1339.2080069005892</v>
      </c>
      <c r="K71" s="179">
        <f t="shared" si="19"/>
        <v>9606.3476744576164</v>
      </c>
      <c r="L71" s="193">
        <f>IF(J71*'Grid Power'!K44&lt;0,0,J71*'Grid Power'!K44)</f>
        <v>535.01915434138175</v>
      </c>
      <c r="M71" s="194">
        <v>0</v>
      </c>
      <c r="N71" s="194">
        <f>N70*(1+Constants!$D$20)</f>
        <v>167.34181143540255</v>
      </c>
      <c r="O71" s="194">
        <v>0</v>
      </c>
      <c r="P71" s="194">
        <f>K71*'Grid Power'!L44</f>
        <v>1269.1511129104156</v>
      </c>
      <c r="Q71" s="194">
        <v>0</v>
      </c>
      <c r="R71" s="193">
        <f>SUM(P71:Q71)-SUM(L71:O71)</f>
        <v>566.79014713363131</v>
      </c>
      <c r="S71" s="193">
        <f>R71+'Analysis (Nothing)'!D32</f>
        <v>3882.690559106959</v>
      </c>
      <c r="T71" s="193">
        <v>0</v>
      </c>
      <c r="U71" s="193">
        <f>V70*Configurations!$C$48</f>
        <v>292.53253660005777</v>
      </c>
      <c r="V71" s="193">
        <f t="shared" si="20"/>
        <v>682.57591873346814</v>
      </c>
      <c r="W71" s="193">
        <v>0</v>
      </c>
      <c r="X71" s="193">
        <f>Y70*Configurations!$D$48</f>
        <v>20.32914805626281</v>
      </c>
      <c r="Y71" s="193">
        <f t="shared" si="21"/>
        <v>182.96233250636527</v>
      </c>
      <c r="Z71" s="194">
        <v>0</v>
      </c>
      <c r="AA71" s="193">
        <f>AB70*Configurations!$E$48</f>
        <v>306.00843401298812</v>
      </c>
      <c r="AB71" s="193">
        <f t="shared" si="22"/>
        <v>1224.0337360519525</v>
      </c>
      <c r="AC71" s="194">
        <f t="shared" si="23"/>
        <v>3263.8204404376502</v>
      </c>
      <c r="AD71" s="193">
        <f>AC71*Constants!$D$23</f>
        <v>326.38204404376506</v>
      </c>
      <c r="AE71" s="193">
        <f t="shared" si="24"/>
        <v>3556.3085150631941</v>
      </c>
      <c r="AF71" s="195">
        <f>AE71*(1+Constants!$D$20)^-H71</f>
        <v>2083.5061755609395</v>
      </c>
    </row>
    <row r="72" spans="8:32" hidden="1" x14ac:dyDescent="0.3">
      <c r="H72" s="178">
        <v>28</v>
      </c>
      <c r="I72" s="192">
        <f>I71*(1-Constants!$D$11)</f>
        <v>0.86905299554526017</v>
      </c>
      <c r="J72" s="179">
        <f t="shared" si="18"/>
        <v>1344.3993438925697</v>
      </c>
      <c r="K72" s="179">
        <f t="shared" si="19"/>
        <v>9558.3159360853297</v>
      </c>
      <c r="L72" s="193">
        <f>IF(J72*'Grid Power'!K45&lt;0,0,J72*'Grid Power'!K45)</f>
        <v>562.86574092931153</v>
      </c>
      <c r="M72" s="194">
        <v>0</v>
      </c>
      <c r="N72" s="194">
        <f>N71*(1+Constants!$D$20)</f>
        <v>170.68864766411059</v>
      </c>
      <c r="O72" s="194">
        <v>0</v>
      </c>
      <c r="P72" s="194">
        <f>K72*'Grid Power'!L45</f>
        <v>1275.4334109193223</v>
      </c>
      <c r="Q72" s="194">
        <v>0</v>
      </c>
      <c r="R72" s="193">
        <f>SUM(P72:Q72)-SUM(L72:O72)</f>
        <v>541.87902232590022</v>
      </c>
      <c r="S72" s="193">
        <f>R72+'Analysis (Nothing)'!D33</f>
        <v>4016.8942293522473</v>
      </c>
      <c r="T72" s="193">
        <v>0</v>
      </c>
      <c r="U72" s="193">
        <f>V71*Configurations!$C$48</f>
        <v>204.77277562004045</v>
      </c>
      <c r="V72" s="193">
        <f t="shared" si="20"/>
        <v>477.80314311342772</v>
      </c>
      <c r="W72" s="193">
        <v>0</v>
      </c>
      <c r="X72" s="193">
        <f>Y71*Configurations!$D$48</f>
        <v>18.296233250636529</v>
      </c>
      <c r="Y72" s="193">
        <f t="shared" si="21"/>
        <v>164.66609925572874</v>
      </c>
      <c r="Z72" s="194">
        <v>0</v>
      </c>
      <c r="AA72" s="193">
        <f>AB71*Configurations!$E$48</f>
        <v>244.80674721039051</v>
      </c>
      <c r="AB72" s="193">
        <f t="shared" si="22"/>
        <v>979.22698884156193</v>
      </c>
      <c r="AC72" s="194">
        <f t="shared" si="23"/>
        <v>3549.01847327118</v>
      </c>
      <c r="AD72" s="193">
        <f>AC72*Constants!$D$23</f>
        <v>354.90184732711805</v>
      </c>
      <c r="AE72" s="193">
        <f t="shared" si="24"/>
        <v>3661.9923820251292</v>
      </c>
      <c r="AF72" s="195">
        <f>AE72*(1+Constants!$D$20)^-H72</f>
        <v>2103.3552371294827</v>
      </c>
    </row>
    <row r="73" spans="8:32" hidden="1" x14ac:dyDescent="0.3">
      <c r="H73" s="178">
        <v>29</v>
      </c>
      <c r="I73" s="192">
        <f>I72*(1-Constants!$D$11)</f>
        <v>0.86470773056753381</v>
      </c>
      <c r="J73" s="179">
        <f t="shared" si="18"/>
        <v>1349.5647241995907</v>
      </c>
      <c r="K73" s="179">
        <f t="shared" si="19"/>
        <v>9510.5243564049015</v>
      </c>
      <c r="L73" s="193">
        <f>IF(J73*'Grid Power'!K46&lt;0,0,J73*'Grid Power'!K46)</f>
        <v>592.1836986549373</v>
      </c>
      <c r="M73" s="194">
        <v>0</v>
      </c>
      <c r="N73" s="194">
        <f>N72*(1+Constants!$D$20)</f>
        <v>174.1024206173928</v>
      </c>
      <c r="O73" s="194">
        <v>0</v>
      </c>
      <c r="P73" s="194">
        <f>K73*'Grid Power'!L46</f>
        <v>1281.7468063033725</v>
      </c>
      <c r="Q73" s="194">
        <v>0</v>
      </c>
      <c r="R73" s="193">
        <f>SUM(P73:Q73)-SUM(L73:O73)</f>
        <v>515.46068703104243</v>
      </c>
      <c r="S73" s="193">
        <f>R73+'Analysis (Nothing)'!D34</f>
        <v>4157.4856288870451</v>
      </c>
      <c r="T73" s="193">
        <v>0</v>
      </c>
      <c r="U73" s="193">
        <f>V72*Configurations!$C$48</f>
        <v>143.34094293402831</v>
      </c>
      <c r="V73" s="193">
        <f t="shared" si="20"/>
        <v>334.46220017939942</v>
      </c>
      <c r="W73" s="193">
        <v>0</v>
      </c>
      <c r="X73" s="193">
        <f>Y72*Configurations!$D$48</f>
        <v>16.466609925572875</v>
      </c>
      <c r="Y73" s="193">
        <f t="shared" si="21"/>
        <v>148.19948933015587</v>
      </c>
      <c r="Z73" s="194">
        <v>0</v>
      </c>
      <c r="AA73" s="193">
        <f>AB72*Configurations!$E$48</f>
        <v>195.84539776831241</v>
      </c>
      <c r="AB73" s="193">
        <f t="shared" si="22"/>
        <v>783.38159107324952</v>
      </c>
      <c r="AC73" s="194">
        <f t="shared" si="23"/>
        <v>3801.8326782591316</v>
      </c>
      <c r="AD73" s="193">
        <f>AC73*Constants!$D$23</f>
        <v>380.18326782591316</v>
      </c>
      <c r="AE73" s="193">
        <f t="shared" si="24"/>
        <v>3777.3023610611317</v>
      </c>
      <c r="AF73" s="195">
        <f>AE73*(1+Constants!$D$20)^-H73</f>
        <v>2127.0454458652785</v>
      </c>
    </row>
    <row r="74" spans="8:32" hidden="1" x14ac:dyDescent="0.3">
      <c r="H74" s="178">
        <v>30</v>
      </c>
      <c r="I74" s="192">
        <f>I73*(1-Constants!$D$11)</f>
        <v>0.86038419191469617</v>
      </c>
      <c r="J74" s="179">
        <f t="shared" si="18"/>
        <v>1354.7042776050762</v>
      </c>
      <c r="K74" s="179">
        <f t="shared" si="19"/>
        <v>9462.9717346228772</v>
      </c>
      <c r="L74" s="193">
        <f>IF(J74*'Grid Power'!K47&lt;0,0,J74*'Grid Power'!K47)</f>
        <v>623.0511883380583</v>
      </c>
      <c r="M74" s="194">
        <v>0</v>
      </c>
      <c r="N74" s="194">
        <f>N73*(1+Constants!$D$20)</f>
        <v>177.58446902974066</v>
      </c>
      <c r="O74" s="194">
        <f>Configurations!$D$63+Configurations!$D$65</f>
        <v>11260.8</v>
      </c>
      <c r="P74" s="194">
        <f>K74*'Grid Power'!L47</f>
        <v>1288.0914529945744</v>
      </c>
      <c r="Q74" s="194">
        <v>0</v>
      </c>
      <c r="R74" s="193">
        <f>SUM(P74:Q74)-SUM(L74:O74)</f>
        <v>-10773.344204373223</v>
      </c>
      <c r="S74" s="193">
        <f>R74+'Analysis (Nothing)'!D35</f>
        <v>-6956.0167841072835</v>
      </c>
      <c r="T74" s="193">
        <f>Configurations!$D$63/2</f>
        <v>3312</v>
      </c>
      <c r="U74" s="193">
        <f>V73*Configurations!$C$48</f>
        <v>100.33866005381982</v>
      </c>
      <c r="V74" s="193">
        <f t="shared" si="20"/>
        <v>3546.1235401255799</v>
      </c>
      <c r="W74" s="193">
        <v>0</v>
      </c>
      <c r="X74" s="193">
        <f>Y73*Configurations!$D$48</f>
        <v>14.819948933015588</v>
      </c>
      <c r="Y74" s="193">
        <f t="shared" si="21"/>
        <v>133.37954039714029</v>
      </c>
      <c r="Z74" s="193">
        <f>Configurations!$E$71/2</f>
        <v>2318.4</v>
      </c>
      <c r="AA74" s="193">
        <f>AB73*Configurations!$E$48</f>
        <v>156.67631821464991</v>
      </c>
      <c r="AB74" s="193">
        <f t="shared" si="22"/>
        <v>2945.1052728585996</v>
      </c>
      <c r="AC74" s="194">
        <f t="shared" si="23"/>
        <v>0</v>
      </c>
      <c r="AD74" s="193">
        <f>AC74*Constants!$D$23</f>
        <v>0</v>
      </c>
      <c r="AE74" s="193">
        <f t="shared" si="24"/>
        <v>-6956.0167841072835</v>
      </c>
      <c r="AF74" s="195">
        <f>AE74*(1+Constants!$D$20)^-H74</f>
        <v>-3840.2143697612964</v>
      </c>
    </row>
    <row r="75" spans="8:32" hidden="1" x14ac:dyDescent="0.3">
      <c r="H75" s="178">
        <v>31</v>
      </c>
      <c r="I75" s="192">
        <f>I74*(1-Constants!$D$11)</f>
        <v>0.85608227095512268</v>
      </c>
      <c r="J75" s="179">
        <f t="shared" si="18"/>
        <v>1359.8181332435345</v>
      </c>
      <c r="K75" s="179">
        <f t="shared" si="19"/>
        <v>9415.6568759497623</v>
      </c>
      <c r="L75" s="193">
        <f>IF(J75*'Grid Power'!K48&lt;0,0,J75*'Grid Power'!K48)</f>
        <v>655.55052056556292</v>
      </c>
      <c r="M75" s="194">
        <v>0</v>
      </c>
      <c r="N75" s="194">
        <f>N74*(1+Constants!$D$20)</f>
        <v>181.13615841033547</v>
      </c>
      <c r="O75" s="194">
        <v>0</v>
      </c>
      <c r="P75" s="194">
        <f>K75*'Grid Power'!L48</f>
        <v>1294.4675056868973</v>
      </c>
      <c r="Q75" s="194">
        <v>0</v>
      </c>
      <c r="R75" s="193">
        <f>SUM(P75:Q75)-SUM(L75:O75)</f>
        <v>457.78082671099889</v>
      </c>
      <c r="S75" s="193">
        <f>R75+'Analysis (Nothing)'!D36</f>
        <v>4459.1214543260385</v>
      </c>
      <c r="T75" s="193">
        <f>Configurations!$D$63/2</f>
        <v>3312</v>
      </c>
      <c r="U75" s="193">
        <f>V74*Configurations!$C$48</f>
        <v>1063.8370620376738</v>
      </c>
      <c r="V75" s="193">
        <f t="shared" si="20"/>
        <v>5794.2864780879063</v>
      </c>
      <c r="W75" s="193">
        <v>0</v>
      </c>
      <c r="X75" s="193">
        <f>Y74*Configurations!$D$48</f>
        <v>13.337954039714029</v>
      </c>
      <c r="Y75" s="193">
        <f t="shared" si="21"/>
        <v>120.04158635742625</v>
      </c>
      <c r="Z75" s="193">
        <f>Configurations!$E$71/2</f>
        <v>2318.4</v>
      </c>
      <c r="AA75" s="193">
        <f>AB74*Configurations!$E$48</f>
        <v>589.0210545717199</v>
      </c>
      <c r="AB75" s="193">
        <f t="shared" si="22"/>
        <v>4674.4842182868797</v>
      </c>
      <c r="AC75" s="194">
        <f t="shared" si="23"/>
        <v>2792.9253836769303</v>
      </c>
      <c r="AD75" s="193">
        <f>AC75*Constants!$D$23</f>
        <v>279.29253836769306</v>
      </c>
      <c r="AE75" s="193">
        <f t="shared" si="24"/>
        <v>4179.8289159583455</v>
      </c>
      <c r="AF75" s="195">
        <f>AE75*(1+Constants!$D$20)^-H75</f>
        <v>2262.3155543304574</v>
      </c>
    </row>
    <row r="76" spans="8:32" hidden="1" x14ac:dyDescent="0.3">
      <c r="H76" s="178">
        <v>32</v>
      </c>
      <c r="I76" s="192">
        <f>I75*(1-Constants!$D$11)</f>
        <v>0.85180185960034704</v>
      </c>
      <c r="J76" s="179">
        <f t="shared" si="18"/>
        <v>1364.9064196038005</v>
      </c>
      <c r="K76" s="179">
        <f t="shared" si="19"/>
        <v>9368.5785915700144</v>
      </c>
      <c r="L76" s="193">
        <f>IF(J76*'Grid Power'!K49&lt;0,0,J76*'Grid Power'!K49)</f>
        <v>689.76837533130936</v>
      </c>
      <c r="M76" s="194">
        <v>0</v>
      </c>
      <c r="N76" s="194">
        <f>N75*(1+Constants!$D$20)</f>
        <v>184.75888157854217</v>
      </c>
      <c r="O76" s="194">
        <v>0</v>
      </c>
      <c r="P76" s="194">
        <f>K76*'Grid Power'!L49</f>
        <v>1300.8751198400478</v>
      </c>
      <c r="Q76" s="194">
        <v>0</v>
      </c>
      <c r="R76" s="193">
        <f>SUM(P76:Q76)-SUM(L76:O76)</f>
        <v>426.34786293019624</v>
      </c>
      <c r="S76" s="193">
        <f>R76+'Analysis (Nothing)'!D37</f>
        <v>4620.8516206652812</v>
      </c>
      <c r="T76" s="193">
        <v>0</v>
      </c>
      <c r="U76" s="193">
        <f>V75*Configurations!$C$48</f>
        <v>1738.2859434263719</v>
      </c>
      <c r="V76" s="193">
        <f t="shared" si="20"/>
        <v>4056.0005346615344</v>
      </c>
      <c r="W76" s="193">
        <v>0</v>
      </c>
      <c r="X76" s="193">
        <f>Y75*Configurations!$D$48</f>
        <v>12.004158635742627</v>
      </c>
      <c r="Y76" s="193">
        <f t="shared" si="21"/>
        <v>108.03742772168363</v>
      </c>
      <c r="Z76" s="194">
        <v>0</v>
      </c>
      <c r="AA76" s="193">
        <f>AB75*Configurations!$E$48</f>
        <v>934.89684365737594</v>
      </c>
      <c r="AB76" s="193">
        <f t="shared" si="22"/>
        <v>3739.5873746295038</v>
      </c>
      <c r="AC76" s="194">
        <f t="shared" si="23"/>
        <v>1935.6646749457909</v>
      </c>
      <c r="AD76" s="193">
        <f>AC76*Constants!$D$23</f>
        <v>193.56646749457911</v>
      </c>
      <c r="AE76" s="193">
        <f t="shared" si="24"/>
        <v>4427.285153170702</v>
      </c>
      <c r="AF76" s="195">
        <f>AE76*(1+Constants!$D$20)^-H76</f>
        <v>2349.2649464422484</v>
      </c>
    </row>
    <row r="77" spans="8:32" hidden="1" x14ac:dyDescent="0.3">
      <c r="H77" s="178">
        <v>33</v>
      </c>
      <c r="I77" s="192">
        <f>I76*(1-Constants!$D$11)</f>
        <v>0.84754285030234533</v>
      </c>
      <c r="J77" s="179">
        <f t="shared" si="18"/>
        <v>1369.969264532265</v>
      </c>
      <c r="K77" s="179">
        <f t="shared" si="19"/>
        <v>9321.7356986121649</v>
      </c>
      <c r="L77" s="193">
        <f>IF(J77*'Grid Power'!K50&lt;0,0,J77*'Grid Power'!K50)</f>
        <v>725.79603325615665</v>
      </c>
      <c r="M77" s="194">
        <v>0</v>
      </c>
      <c r="N77" s="194">
        <f>N76*(1+Constants!$D$20)</f>
        <v>188.45405921011303</v>
      </c>
      <c r="O77" s="194">
        <v>0</v>
      </c>
      <c r="P77" s="194">
        <f>K77*'Grid Power'!L50</f>
        <v>1307.314451683256</v>
      </c>
      <c r="Q77" s="194">
        <v>0</v>
      </c>
      <c r="R77" s="193">
        <f>SUM(P77:Q77)-SUM(L77:O77)</f>
        <v>393.0643592169863</v>
      </c>
      <c r="S77" s="193">
        <f>R77+'Analysis (Nothing)'!D38</f>
        <v>4790.3426513866962</v>
      </c>
      <c r="T77" s="193">
        <v>0</v>
      </c>
      <c r="U77" s="193">
        <f>V76*Configurations!$C$48</f>
        <v>1216.8001603984603</v>
      </c>
      <c r="V77" s="193">
        <f t="shared" si="20"/>
        <v>2839.2003742630741</v>
      </c>
      <c r="W77" s="193">
        <v>0</v>
      </c>
      <c r="X77" s="193">
        <f>Y76*Configurations!$D$48</f>
        <v>10.803742772168363</v>
      </c>
      <c r="Y77" s="193">
        <f t="shared" si="21"/>
        <v>97.233684949515265</v>
      </c>
      <c r="Z77" s="194">
        <v>0</v>
      </c>
      <c r="AA77" s="193">
        <f>AB76*Configurations!$E$48</f>
        <v>747.91747492590082</v>
      </c>
      <c r="AB77" s="193">
        <f t="shared" si="22"/>
        <v>2991.6698997036028</v>
      </c>
      <c r="AC77" s="194">
        <f t="shared" si="23"/>
        <v>2814.8212732901666</v>
      </c>
      <c r="AD77" s="193">
        <f>AC77*Constants!$D$23</f>
        <v>281.48212732901669</v>
      </c>
      <c r="AE77" s="193">
        <f t="shared" si="24"/>
        <v>4508.8605240576799</v>
      </c>
      <c r="AF77" s="195">
        <f>AE77*(1+Constants!$D$20)^-H77</f>
        <v>2345.6387793938179</v>
      </c>
    </row>
    <row r="78" spans="8:32" hidden="1" x14ac:dyDescent="0.3">
      <c r="H78" s="178">
        <v>34</v>
      </c>
      <c r="I78" s="192">
        <f>I77*(1-Constants!$D$11)</f>
        <v>0.84330513605083357</v>
      </c>
      <c r="J78" s="179">
        <f t="shared" si="18"/>
        <v>1375.0067952360869</v>
      </c>
      <c r="K78" s="179">
        <f t="shared" si="19"/>
        <v>9275.1270201191037</v>
      </c>
      <c r="L78" s="193">
        <f>IF(J78*'Grid Power'!K51&lt;0,0,J78*'Grid Power'!K51)</f>
        <v>763.72961899633651</v>
      </c>
      <c r="M78" s="194">
        <v>0</v>
      </c>
      <c r="N78" s="194">
        <f>N77*(1+Constants!$D$20)</f>
        <v>192.22314039431529</v>
      </c>
      <c r="O78" s="194">
        <v>0</v>
      </c>
      <c r="P78" s="194">
        <f>K78*'Grid Power'!L51</f>
        <v>1313.7856582190882</v>
      </c>
      <c r="Q78" s="194">
        <v>0</v>
      </c>
      <c r="R78" s="193">
        <f>SUM(P78:Q78)-SUM(L78:O78)</f>
        <v>357.83289882843633</v>
      </c>
      <c r="S78" s="193">
        <f>R78+'Analysis (Nothing)'!D39</f>
        <v>4967.9820332303198</v>
      </c>
      <c r="T78" s="193">
        <v>0</v>
      </c>
      <c r="U78" s="193">
        <f>V77*Configurations!$C$48</f>
        <v>851.76011227892218</v>
      </c>
      <c r="V78" s="193">
        <f t="shared" si="20"/>
        <v>1987.4402619841519</v>
      </c>
      <c r="W78" s="193">
        <v>0</v>
      </c>
      <c r="X78" s="193">
        <f>Y77*Configurations!$D$48</f>
        <v>9.7233684949515276</v>
      </c>
      <c r="Y78" s="193">
        <f t="shared" si="21"/>
        <v>87.510316454563736</v>
      </c>
      <c r="Z78" s="194">
        <v>0</v>
      </c>
      <c r="AA78" s="193">
        <f>AB77*Configurations!$E$48</f>
        <v>598.33397994072061</v>
      </c>
      <c r="AB78" s="193">
        <f t="shared" si="22"/>
        <v>2393.3359197628824</v>
      </c>
      <c r="AC78" s="194">
        <f t="shared" si="23"/>
        <v>3508.1645725157259</v>
      </c>
      <c r="AD78" s="193">
        <f>AC78*Constants!$D$23</f>
        <v>350.81645725157261</v>
      </c>
      <c r="AE78" s="193">
        <f t="shared" si="24"/>
        <v>4617.1655759787473</v>
      </c>
      <c r="AF78" s="195">
        <f>AE78*(1+Constants!$D$20)^-H78</f>
        <v>2354.8844891101853</v>
      </c>
    </row>
    <row r="79" spans="8:32" hidden="1" x14ac:dyDescent="0.3">
      <c r="H79" s="178">
        <v>35</v>
      </c>
      <c r="I79" s="192">
        <f>I78*(1-Constants!$D$11)</f>
        <v>0.83908861037057936</v>
      </c>
      <c r="J79" s="179">
        <f t="shared" si="18"/>
        <v>1380.0191382863904</v>
      </c>
      <c r="K79" s="179">
        <f t="shared" si="19"/>
        <v>9228.751385018506</v>
      </c>
      <c r="L79" s="193">
        <f>IF(J79*'Grid Power'!K52&lt;0,0,J79*'Grid Power'!K52)</f>
        <v>803.67035748019327</v>
      </c>
      <c r="M79" s="194">
        <v>0</v>
      </c>
      <c r="N79" s="194">
        <f>N78*(1+Constants!$D$20)</f>
        <v>196.06760320220161</v>
      </c>
      <c r="O79" s="194">
        <v>0</v>
      </c>
      <c r="P79" s="194">
        <f>K79*'Grid Power'!L52</f>
        <v>1320.2888972272724</v>
      </c>
      <c r="Q79" s="194">
        <v>0</v>
      </c>
      <c r="R79" s="193">
        <f>SUM(P79:Q79)-SUM(L79:O79)</f>
        <v>320.55093654487746</v>
      </c>
      <c r="S79" s="193">
        <f>R79+'Analysis (Nothing)'!D40</f>
        <v>5154.1767384180675</v>
      </c>
      <c r="T79" s="193">
        <v>0</v>
      </c>
      <c r="U79" s="193">
        <f>V78*Configurations!$C$48</f>
        <v>596.23207859524553</v>
      </c>
      <c r="V79" s="193">
        <f>V78+T79-U79</f>
        <v>1391.2081833889065</v>
      </c>
      <c r="W79" s="193">
        <v>0</v>
      </c>
      <c r="X79" s="193">
        <f>Y78*Configurations!$D$48</f>
        <v>8.7510316454563739</v>
      </c>
      <c r="Y79" s="193">
        <f t="shared" si="21"/>
        <v>78.759284809107356</v>
      </c>
      <c r="Z79" s="194">
        <v>0</v>
      </c>
      <c r="AA79" s="193">
        <f>AB78*Configurations!$E$48</f>
        <v>478.66718395257652</v>
      </c>
      <c r="AB79" s="193">
        <f t="shared" si="22"/>
        <v>1914.6687358103059</v>
      </c>
      <c r="AC79" s="194">
        <f t="shared" si="23"/>
        <v>4070.5264442247894</v>
      </c>
      <c r="AD79" s="193">
        <f>AC79*Constants!$D$23</f>
        <v>407.05264442247898</v>
      </c>
      <c r="AE79" s="193">
        <f t="shared" si="24"/>
        <v>4747.1240939955887</v>
      </c>
      <c r="AF79" s="195">
        <f>AE79*(1+Constants!$D$20)^-H79</f>
        <v>2373.6931310410309</v>
      </c>
    </row>
    <row r="80" spans="8:32" x14ac:dyDescent="0.3">
      <c r="H80" s="178">
        <v>36</v>
      </c>
      <c r="I80" s="192">
        <f>I79*(1-Constants!$D$11)</f>
        <v>0.83489316731872643</v>
      </c>
      <c r="J80" s="179">
        <f t="shared" si="18"/>
        <v>1385.0064196214419</v>
      </c>
      <c r="K80" s="179">
        <f t="shared" si="19"/>
        <v>9182.607628093414</v>
      </c>
      <c r="L80" s="193">
        <f>IF(J80*'Grid Power'!K53&lt;0,0,J80*'Grid Power'!K53)</f>
        <v>845.72484364680463</v>
      </c>
      <c r="M80" s="194">
        <v>0</v>
      </c>
      <c r="N80" s="194">
        <f>N79*(1+Constants!$D$20)</f>
        <v>199.98895526624565</v>
      </c>
      <c r="O80" s="194">
        <v>0</v>
      </c>
      <c r="P80" s="194">
        <f>K80*'Grid Power'!L53</f>
        <v>1326.8243272685474</v>
      </c>
      <c r="Q80" s="194">
        <v>0</v>
      </c>
      <c r="R80" s="193">
        <f>SUM(P80:Q80)-SUM(L80:O80)</f>
        <v>281.11052835549708</v>
      </c>
      <c r="S80" s="193">
        <f>R80+'Analysis (Nothing)'!D41</f>
        <v>5349.3542070966032</v>
      </c>
      <c r="T80" s="193">
        <v>0</v>
      </c>
      <c r="U80" s="193">
        <f>V79*Configurations!$C$48</f>
        <v>417.36245501667196</v>
      </c>
      <c r="V80" s="193">
        <f t="shared" si="20"/>
        <v>973.84572837223459</v>
      </c>
      <c r="W80" s="193">
        <v>0</v>
      </c>
      <c r="X80" s="193">
        <f>Y79*Configurations!$D$48</f>
        <v>7.8759284809107362</v>
      </c>
      <c r="Y80" s="193">
        <f t="shared" si="21"/>
        <v>70.883356328196626</v>
      </c>
      <c r="Z80" s="194">
        <v>0</v>
      </c>
      <c r="AA80" s="193">
        <f>AB79*Configurations!$E$48</f>
        <v>382.9337471620612</v>
      </c>
      <c r="AB80" s="193">
        <f t="shared" si="22"/>
        <v>1531.7349886482448</v>
      </c>
      <c r="AC80" s="194">
        <f t="shared" si="23"/>
        <v>4541.1820764369586</v>
      </c>
      <c r="AD80" s="193">
        <f>AC80*Constants!$D$23</f>
        <v>454.11820764369588</v>
      </c>
      <c r="AE80" s="193">
        <f t="shared" si="24"/>
        <v>4895.235999452907</v>
      </c>
      <c r="AF80" s="195">
        <f>AE80*(1+Constants!$D$20)^-H80</f>
        <v>2399.7580133695606</v>
      </c>
    </row>
    <row r="81" spans="8:32" x14ac:dyDescent="0.3">
      <c r="H81" s="178">
        <v>37</v>
      </c>
      <c r="I81" s="192">
        <f>I80*(1-Constants!$D$11)</f>
        <v>0.83071870148213278</v>
      </c>
      <c r="J81" s="179">
        <f t="shared" si="18"/>
        <v>1389.9687645498182</v>
      </c>
      <c r="K81" s="179">
        <f t="shared" si="19"/>
        <v>9136.6945899529474</v>
      </c>
      <c r="L81" s="193">
        <f>IF(J81*'Grid Power'!K54&lt;0,0,J81*'Grid Power'!K54)</f>
        <v>890.00532639524135</v>
      </c>
      <c r="M81" s="194">
        <v>0</v>
      </c>
      <c r="N81" s="194">
        <f>N80*(1+Constants!$D$20)</f>
        <v>203.98873437157056</v>
      </c>
      <c r="O81" s="194">
        <v>0</v>
      </c>
      <c r="P81" s="194">
        <f>K81*'Grid Power'!L54</f>
        <v>1333.3921076885267</v>
      </c>
      <c r="Q81" s="194">
        <v>0</v>
      </c>
      <c r="R81" s="193">
        <f>SUM(P81:Q81)-SUM(L81:O81)</f>
        <v>239.39804692171492</v>
      </c>
      <c r="S81" s="193">
        <f>R81+'Analysis (Nothing)'!D42</f>
        <v>5553.9633793923913</v>
      </c>
      <c r="T81" s="193">
        <v>0</v>
      </c>
      <c r="U81" s="193">
        <f>V80*Configurations!$C$48</f>
        <v>292.15371851167038</v>
      </c>
      <c r="V81" s="193">
        <f t="shared" si="20"/>
        <v>681.69200986056421</v>
      </c>
      <c r="W81" s="193">
        <v>0</v>
      </c>
      <c r="X81" s="193">
        <f>Y80*Configurations!$D$48</f>
        <v>7.0883356328196632</v>
      </c>
      <c r="Y81" s="193">
        <f t="shared" si="21"/>
        <v>63.795020695376962</v>
      </c>
      <c r="Z81" s="194">
        <v>0</v>
      </c>
      <c r="AA81" s="193">
        <f>AB80*Configurations!$E$48</f>
        <v>306.34699772964899</v>
      </c>
      <c r="AB81" s="193">
        <f t="shared" si="22"/>
        <v>1225.3879909185957</v>
      </c>
      <c r="AC81" s="194">
        <f t="shared" si="23"/>
        <v>4948.3743275182524</v>
      </c>
      <c r="AD81" s="193">
        <f>AC81*Constants!$D$23</f>
        <v>494.83743275182525</v>
      </c>
      <c r="AE81" s="193">
        <f t="shared" si="24"/>
        <v>5059.1259466405663</v>
      </c>
      <c r="AF81" s="195">
        <f>AE81*(1+Constants!$D$20)^-H81</f>
        <v>2431.4712348930971</v>
      </c>
    </row>
    <row r="82" spans="8:32" x14ac:dyDescent="0.3">
      <c r="H82" s="178">
        <v>38</v>
      </c>
      <c r="I82" s="192">
        <f>I81*(1-Constants!$D$11)</f>
        <v>0.82656510797472216</v>
      </c>
      <c r="J82" s="179">
        <f t="shared" si="18"/>
        <v>1394.906297753553</v>
      </c>
      <c r="K82" s="179">
        <f t="shared" si="19"/>
        <v>9091.0111170031832</v>
      </c>
      <c r="L82" s="193">
        <f>IF(J82*'Grid Power'!K55&lt;0,0,J82*'Grid Power'!K55)</f>
        <v>936.63000749029038</v>
      </c>
      <c r="M82" s="194">
        <v>0</v>
      </c>
      <c r="N82" s="194">
        <f>N81*(1+Constants!$D$20)</f>
        <v>208.06850905900197</v>
      </c>
      <c r="O82" s="194">
        <v>0</v>
      </c>
      <c r="P82" s="194">
        <f>K82*'Grid Power'!L55</f>
        <v>1339.9923986215852</v>
      </c>
      <c r="Q82" s="194">
        <v>0</v>
      </c>
      <c r="R82" s="193">
        <f>SUM(P82:Q82)-SUM(L82:O82)</f>
        <v>195.29388207229272</v>
      </c>
      <c r="S82" s="193">
        <f>R82+'Analysis (Nothing)'!D43</f>
        <v>5768.4757795872511</v>
      </c>
      <c r="T82" s="193">
        <v>0</v>
      </c>
      <c r="U82" s="193">
        <f>V81*Configurations!$C$48</f>
        <v>204.50760295816926</v>
      </c>
      <c r="V82" s="193">
        <f t="shared" si="20"/>
        <v>477.18440690239493</v>
      </c>
      <c r="W82" s="193">
        <v>0</v>
      </c>
      <c r="X82" s="193">
        <f>Y81*Configurations!$D$48</f>
        <v>6.3795020695376969</v>
      </c>
      <c r="Y82" s="193">
        <f t="shared" si="21"/>
        <v>57.415518625839269</v>
      </c>
      <c r="Z82" s="194">
        <v>0</v>
      </c>
      <c r="AA82" s="193">
        <f>AB81*Configurations!$E$48</f>
        <v>245.07759818371915</v>
      </c>
      <c r="AB82" s="193">
        <f t="shared" si="22"/>
        <v>980.31039273487659</v>
      </c>
      <c r="AC82" s="194">
        <f t="shared" si="23"/>
        <v>5312.5110763758248</v>
      </c>
      <c r="AD82" s="193">
        <f>AC82*Constants!$D$23</f>
        <v>531.25110763758255</v>
      </c>
      <c r="AE82" s="193">
        <f t="shared" si="24"/>
        <v>5237.2246719496688</v>
      </c>
      <c r="AF82" s="195">
        <f>AE82*(1+Constants!$D$20)^-H82</f>
        <v>2467.7131658839935</v>
      </c>
    </row>
    <row r="83" spans="8:32" x14ac:dyDescent="0.3">
      <c r="H83" s="178">
        <v>39</v>
      </c>
      <c r="I83" s="192">
        <f>I82*(1-Constants!$D$11)</f>
        <v>0.82243228243484856</v>
      </c>
      <c r="J83" s="179">
        <f t="shared" si="18"/>
        <v>1399.8191432912688</v>
      </c>
      <c r="K83" s="179">
        <f t="shared" si="19"/>
        <v>9045.5560614181668</v>
      </c>
      <c r="L83" s="193">
        <f>IF(J83*'Grid Power'!K56&lt;0,0,J83*'Grid Power'!K56)</f>
        <v>985.72335620948036</v>
      </c>
      <c r="M83" s="194">
        <v>0</v>
      </c>
      <c r="N83" s="194">
        <f>N82*(1+Constants!$D$20)</f>
        <v>212.22987924018202</v>
      </c>
      <c r="O83" s="194">
        <v>0</v>
      </c>
      <c r="P83" s="194">
        <f>K83*'Grid Power'!L56</f>
        <v>1346.6253609947619</v>
      </c>
      <c r="Q83" s="194">
        <v>0</v>
      </c>
      <c r="R83" s="193">
        <f>SUM(P83:Q83)-SUM(L83:O83)</f>
        <v>148.67212554509956</v>
      </c>
      <c r="S83" s="193">
        <f>R83+'Analysis (Nothing)'!D44</f>
        <v>5993.3866550495395</v>
      </c>
      <c r="T83" s="193">
        <v>0</v>
      </c>
      <c r="U83" s="193">
        <f>V82*Configurations!$C$48</f>
        <v>143.15532207071848</v>
      </c>
      <c r="V83" s="193">
        <f t="shared" si="20"/>
        <v>334.02908483167641</v>
      </c>
      <c r="W83" s="193">
        <v>0</v>
      </c>
      <c r="X83" s="193">
        <f>Y82*Configurations!$D$48</f>
        <v>5.7415518625839272</v>
      </c>
      <c r="Y83" s="193">
        <f t="shared" si="21"/>
        <v>51.673966763255343</v>
      </c>
      <c r="Z83" s="194">
        <v>0</v>
      </c>
      <c r="AA83" s="193">
        <f>AB82*Configurations!$E$48</f>
        <v>196.06207854697533</v>
      </c>
      <c r="AB83" s="193">
        <f t="shared" si="22"/>
        <v>784.24831418790131</v>
      </c>
      <c r="AC83" s="194">
        <f t="shared" si="23"/>
        <v>5648.4277025692618</v>
      </c>
      <c r="AD83" s="193">
        <f>AC83*Constants!$D$23</f>
        <v>564.8427702569262</v>
      </c>
      <c r="AE83" s="193">
        <f t="shared" si="24"/>
        <v>5428.5438847926134</v>
      </c>
      <c r="AF83" s="195">
        <f>AE83*(1+Constants!$D$20)^-H83</f>
        <v>2507.7062037117034</v>
      </c>
    </row>
    <row r="84" spans="8:32" x14ac:dyDescent="0.3">
      <c r="H84" s="196">
        <v>40</v>
      </c>
      <c r="I84" s="197">
        <f>I83*(1-Constants!$D$11)</f>
        <v>0.81832012102267426</v>
      </c>
      <c r="J84" s="198">
        <f t="shared" si="18"/>
        <v>1404.707424601296</v>
      </c>
      <c r="K84" s="198">
        <f t="shared" si="19"/>
        <v>9000.3282811110748</v>
      </c>
      <c r="L84" s="199">
        <f>IF(J84*'Grid Power'!K57&lt;0,0,J84*'Grid Power'!K57)</f>
        <v>1037.4164405572938</v>
      </c>
      <c r="M84" s="200">
        <v>0</v>
      </c>
      <c r="N84" s="200">
        <f>N83*(1+Constants!$D$20)</f>
        <v>216.47447682498566</v>
      </c>
      <c r="O84" s="200">
        <v>0</v>
      </c>
      <c r="P84" s="200">
        <f>K84*'Grid Power'!L57</f>
        <v>1353.2911565316856</v>
      </c>
      <c r="Q84" s="200">
        <f t="shared" ref="Q84" si="25">V84+Y84+AB84</f>
        <v>907.72558081942429</v>
      </c>
      <c r="R84" s="199">
        <f>SUM(P84:Q84)-SUM(L84:O84)</f>
        <v>1007.1258199688305</v>
      </c>
      <c r="S84" s="199">
        <f>R84+'Analysis (Nothing)'!D45</f>
        <v>7136.9417535089724</v>
      </c>
      <c r="T84" s="199">
        <v>0</v>
      </c>
      <c r="U84" s="199">
        <f>V83*Configurations!$C$48</f>
        <v>100.20872544950292</v>
      </c>
      <c r="V84" s="199">
        <f t="shared" si="20"/>
        <v>233.82035938217348</v>
      </c>
      <c r="W84" s="199">
        <v>0</v>
      </c>
      <c r="X84" s="199">
        <f>Y83*Configurations!$D$48</f>
        <v>5.1673966763255343</v>
      </c>
      <c r="Y84" s="199">
        <f t="shared" si="21"/>
        <v>46.506570086929813</v>
      </c>
      <c r="Z84" s="200">
        <v>0</v>
      </c>
      <c r="AA84" s="199">
        <f>AB83*Configurations!$E$48</f>
        <v>156.84966283758027</v>
      </c>
      <c r="AB84" s="199">
        <f t="shared" si="22"/>
        <v>627.39865135032107</v>
      </c>
      <c r="AC84" s="200">
        <f t="shared" si="23"/>
        <v>6874.7159685455636</v>
      </c>
      <c r="AD84" s="199">
        <f>AC84*Constants!$D$23</f>
        <v>687.47159685455642</v>
      </c>
      <c r="AE84" s="199">
        <f t="shared" si="24"/>
        <v>6449.4701566544163</v>
      </c>
      <c r="AF84" s="201">
        <f>AE84*(1+Constants!$D$20)^-H84</f>
        <v>2920.9032169720103</v>
      </c>
    </row>
    <row r="85" spans="8:32" x14ac:dyDescent="0.3">
      <c r="H85" s="202"/>
      <c r="I85" s="192"/>
      <c r="J85" s="179"/>
      <c r="K85" s="179"/>
      <c r="L85" s="193"/>
      <c r="M85" s="194"/>
      <c r="N85" s="194"/>
      <c r="O85" s="194"/>
      <c r="P85" s="194"/>
      <c r="Q85" s="194"/>
      <c r="R85" s="193"/>
      <c r="S85" s="193"/>
      <c r="T85" s="193"/>
      <c r="U85" s="193"/>
      <c r="V85" s="193"/>
      <c r="W85" s="193"/>
      <c r="X85" s="193"/>
      <c r="Y85" s="193"/>
      <c r="Z85" s="194"/>
      <c r="AA85" s="193"/>
      <c r="AB85" s="193"/>
      <c r="AC85" s="194"/>
      <c r="AD85" s="193"/>
      <c r="AE85" s="193"/>
      <c r="AF85" s="208"/>
    </row>
    <row r="86" spans="8:32" x14ac:dyDescent="0.3">
      <c r="H86" s="260" t="s">
        <v>218</v>
      </c>
      <c r="I86" s="260"/>
      <c r="J86" s="260"/>
      <c r="K86" s="260"/>
      <c r="L86" s="260"/>
      <c r="M86" s="260"/>
      <c r="N86" s="260"/>
      <c r="O86" s="194"/>
      <c r="P86" s="194"/>
      <c r="Q86" s="194"/>
      <c r="R86" s="193"/>
      <c r="S86" s="193"/>
      <c r="T86" s="193"/>
      <c r="U86" s="193"/>
      <c r="V86" s="193"/>
      <c r="W86" s="193"/>
      <c r="X86" s="193"/>
      <c r="Y86" s="193"/>
      <c r="Z86" s="194"/>
      <c r="AA86" s="193"/>
      <c r="AB86" s="193"/>
      <c r="AC86" s="194"/>
      <c r="AD86" s="193"/>
      <c r="AE86" s="193"/>
      <c r="AF86" s="208"/>
    </row>
    <row r="87" spans="8:32" x14ac:dyDescent="0.3">
      <c r="H87" s="265" t="s">
        <v>186</v>
      </c>
      <c r="I87" s="265"/>
      <c r="J87" s="265"/>
      <c r="K87" s="265"/>
      <c r="L87" s="265"/>
      <c r="M87" s="265" t="s">
        <v>185</v>
      </c>
      <c r="N87" s="265"/>
      <c r="O87" s="194"/>
      <c r="P87" s="194"/>
      <c r="Q87" s="194"/>
      <c r="R87" s="193"/>
      <c r="S87" s="193"/>
      <c r="T87" s="193"/>
      <c r="U87" s="193"/>
      <c r="V87" s="193"/>
      <c r="W87" s="193"/>
      <c r="X87" s="193"/>
      <c r="Y87" s="193"/>
      <c r="Z87" s="194"/>
      <c r="AA87" s="193"/>
      <c r="AB87" s="193"/>
      <c r="AC87" s="194"/>
      <c r="AD87" s="193"/>
      <c r="AE87" s="193"/>
      <c r="AF87" s="208"/>
    </row>
    <row r="88" spans="8:32" x14ac:dyDescent="0.3">
      <c r="H88" s="265" t="str">
        <f>H4</f>
        <v>Year</v>
      </c>
      <c r="I88" s="266" t="str">
        <f>I5</f>
        <v>Solar efficiency</v>
      </c>
      <c r="J88" s="265" t="s">
        <v>182</v>
      </c>
      <c r="K88" s="209" t="s">
        <v>183</v>
      </c>
      <c r="L88" s="209" t="s">
        <v>184</v>
      </c>
      <c r="M88" s="265" t="s">
        <v>187</v>
      </c>
      <c r="N88" s="209" t="s">
        <v>181</v>
      </c>
    </row>
    <row r="89" spans="8:32" x14ac:dyDescent="0.3">
      <c r="H89" s="265"/>
      <c r="I89" s="266"/>
      <c r="J89" s="265"/>
      <c r="K89" s="209" t="s">
        <v>62</v>
      </c>
      <c r="L89" s="209" t="s">
        <v>59</v>
      </c>
      <c r="M89" s="265"/>
      <c r="N89" s="209" t="s">
        <v>59</v>
      </c>
    </row>
    <row r="90" spans="8:32" x14ac:dyDescent="0.3">
      <c r="H90" s="185">
        <v>0</v>
      </c>
      <c r="I90" s="186">
        <v>1</v>
      </c>
      <c r="J90" s="186">
        <f>1-I90</f>
        <v>0</v>
      </c>
      <c r="K90" s="277">
        <f>J90*$C$18</f>
        <v>0</v>
      </c>
      <c r="L90" s="188">
        <f>K90*'Grid Power'!K17</f>
        <v>0</v>
      </c>
      <c r="M90" s="278">
        <f>H90</f>
        <v>0</v>
      </c>
      <c r="N90" s="279">
        <v>0</v>
      </c>
    </row>
    <row r="91" spans="8:32" x14ac:dyDescent="0.3">
      <c r="H91" s="178">
        <v>1</v>
      </c>
      <c r="I91" s="192">
        <f>I90*(1-Constants!$D$11)</f>
        <v>0.995</v>
      </c>
      <c r="J91" s="210">
        <f t="shared" ref="J91:J130" si="26">1-I91</f>
        <v>5.0000000000000044E-3</v>
      </c>
      <c r="K91" s="211">
        <f t="shared" ref="K91:K130" si="27">J91*$C$18</f>
        <v>90.549221857017486</v>
      </c>
      <c r="L91" s="193">
        <f>K91*'Grid Power'!K18</f>
        <v>11.028953535883605</v>
      </c>
      <c r="M91" s="202">
        <f>H91</f>
        <v>1</v>
      </c>
      <c r="N91" s="184">
        <f>PMT(Constants!$D$21,M91,-NPV(Constants!$D$21,$J$91:L91))+Configurations!$D$62/M91</f>
        <v>11690.31271236555</v>
      </c>
      <c r="O91" s="212">
        <f>MIN($N$91:$N$130)</f>
        <v>840.73853114909002</v>
      </c>
    </row>
    <row r="92" spans="8:32" x14ac:dyDescent="0.3">
      <c r="H92" s="178">
        <v>2</v>
      </c>
      <c r="I92" s="192">
        <f>I91*(1-Constants!$D$11)</f>
        <v>0.99002500000000004</v>
      </c>
      <c r="J92" s="210">
        <f t="shared" si="26"/>
        <v>9.9749999999999561E-3</v>
      </c>
      <c r="K92" s="211">
        <f t="shared" si="27"/>
        <v>180.64569760474893</v>
      </c>
      <c r="L92" s="193">
        <f>K92*'Grid Power'!K19</f>
        <v>23.001349450083836</v>
      </c>
      <c r="M92" s="202">
        <f t="shared" ref="M92:M130" si="28">H92</f>
        <v>2</v>
      </c>
      <c r="N92" s="184">
        <f>PMT(Constants!$D$21,M92,-NPV(Constants!$D$21,$J$91:L92))+Configurations!$D$62/M92</f>
        <v>5937.3912811146356</v>
      </c>
      <c r="O92" s="212">
        <f t="shared" ref="O92:O130" si="29">MIN($N$91:$N$130)</f>
        <v>840.73853114909002</v>
      </c>
    </row>
    <row r="93" spans="8:32" x14ac:dyDescent="0.3">
      <c r="H93" s="178">
        <v>3</v>
      </c>
      <c r="I93" s="192">
        <f>I92*(1-Constants!$D$11)</f>
        <v>0.98507487500000002</v>
      </c>
      <c r="J93" s="210">
        <f t="shared" si="26"/>
        <v>1.4925124999999984E-2</v>
      </c>
      <c r="K93" s="211">
        <f t="shared" si="27"/>
        <v>270.29169097374307</v>
      </c>
      <c r="L93" s="193">
        <f>K93*'Grid Power'!K20</f>
        <v>35.982114327609168</v>
      </c>
      <c r="M93" s="202">
        <f t="shared" si="28"/>
        <v>3</v>
      </c>
      <c r="N93" s="184">
        <f>PMT(Constants!$D$21,M93,-NPV(Constants!$D$21,$J$91:L93))+Configurations!$D$62/M93</f>
        <v>4044.8336509477522</v>
      </c>
      <c r="O93" s="212">
        <f t="shared" si="29"/>
        <v>840.73853114909002</v>
      </c>
    </row>
    <row r="94" spans="8:32" x14ac:dyDescent="0.3">
      <c r="H94" s="178">
        <v>4</v>
      </c>
      <c r="I94" s="192">
        <f>I93*(1-Constants!$D$11)</f>
        <v>0.98014950062500006</v>
      </c>
      <c r="J94" s="210">
        <f t="shared" si="26"/>
        <v>1.9850499374999941E-2</v>
      </c>
      <c r="K94" s="211">
        <f t="shared" si="27"/>
        <v>359.489454375891</v>
      </c>
      <c r="L94" s="193">
        <f>K94*'Grid Power'!K21</f>
        <v>50.040276973543527</v>
      </c>
      <c r="M94" s="202">
        <f t="shared" si="28"/>
        <v>4</v>
      </c>
      <c r="N94" s="184">
        <f>PMT(Constants!$D$21,M94,-NPV(Constants!$D$21,$J$91:L94))+Configurations!$D$62/M94</f>
        <v>3114.9226842277258</v>
      </c>
      <c r="O94" s="212">
        <f t="shared" si="29"/>
        <v>840.73853114909002</v>
      </c>
    </row>
    <row r="95" spans="8:32" x14ac:dyDescent="0.3">
      <c r="H95" s="178">
        <v>5</v>
      </c>
      <c r="I95" s="192">
        <f>I94*(1-Constants!$D$11)</f>
        <v>0.97524875312187509</v>
      </c>
      <c r="J95" s="210">
        <f t="shared" si="26"/>
        <v>2.4751246878124911E-2</v>
      </c>
      <c r="K95" s="211">
        <f t="shared" si="27"/>
        <v>448.24122896102836</v>
      </c>
      <c r="L95" s="193">
        <f>K95*'Grid Power'!K22</f>
        <v>65.249214891318971</v>
      </c>
      <c r="M95" s="202">
        <f t="shared" si="28"/>
        <v>5</v>
      </c>
      <c r="N95" s="184">
        <f>PMT(Constants!$D$21,M95,-NPV(Constants!$D$21,$J$91:L95))+Configurations!$D$62/M95</f>
        <v>2568.3201404351121</v>
      </c>
      <c r="O95" s="212">
        <f t="shared" si="29"/>
        <v>840.73853114909002</v>
      </c>
    </row>
    <row r="96" spans="8:32" x14ac:dyDescent="0.3">
      <c r="H96" s="178">
        <v>6</v>
      </c>
      <c r="I96" s="192">
        <f>I95*(1-Constants!$D$11)</f>
        <v>0.97037250935626573</v>
      </c>
      <c r="J96" s="210">
        <f t="shared" si="26"/>
        <v>2.9627490643734267E-2</v>
      </c>
      <c r="K96" s="211">
        <f t="shared" si="27"/>
        <v>536.54924467324031</v>
      </c>
      <c r="L96" s="193">
        <f>K96*'Grid Power'!K23</f>
        <v>81.686915070008141</v>
      </c>
      <c r="M96" s="202">
        <f t="shared" si="28"/>
        <v>6</v>
      </c>
      <c r="N96" s="184">
        <f>PMT(Constants!$D$21,M96,-NPV(Constants!$D$21,$J$91:L96))+Configurations!$D$62/M96</f>
        <v>2212.0682073771582</v>
      </c>
      <c r="O96" s="212">
        <f t="shared" si="29"/>
        <v>840.73853114909002</v>
      </c>
    </row>
    <row r="97" spans="8:15" x14ac:dyDescent="0.3">
      <c r="H97" s="178">
        <v>7</v>
      </c>
      <c r="I97" s="192">
        <f>I96*(1-Constants!$D$11)</f>
        <v>0.96552064680948435</v>
      </c>
      <c r="J97" s="210">
        <f t="shared" si="26"/>
        <v>3.4479353190515649E-2</v>
      </c>
      <c r="K97" s="211">
        <f t="shared" si="27"/>
        <v>624.41572030689247</v>
      </c>
      <c r="L97" s="193">
        <f>K97*'Grid Power'!K24</f>
        <v>99.436249890850746</v>
      </c>
      <c r="M97" s="202">
        <f t="shared" si="28"/>
        <v>7</v>
      </c>
      <c r="N97" s="184">
        <f>PMT(Constants!$D$21,M97,-NPV(Constants!$D$21,$J$91:L97))+Configurations!$D$62/M97</f>
        <v>1963.5909236494217</v>
      </c>
      <c r="O97" s="212">
        <f t="shared" si="29"/>
        <v>840.73853114909002</v>
      </c>
    </row>
    <row r="98" spans="8:15" x14ac:dyDescent="0.3">
      <c r="H98" s="178">
        <v>8</v>
      </c>
      <c r="I98" s="192">
        <f>I97*(1-Constants!$D$11)</f>
        <v>0.96069304357543694</v>
      </c>
      <c r="J98" s="210">
        <f t="shared" si="26"/>
        <v>3.9306956424563055E-2</v>
      </c>
      <c r="K98" s="211">
        <f t="shared" si="27"/>
        <v>711.8428635623751</v>
      </c>
      <c r="L98" s="193">
        <f>K98*'Grid Power'!K25</f>
        <v>118.58526900824766</v>
      </c>
      <c r="M98" s="202">
        <f t="shared" si="28"/>
        <v>8</v>
      </c>
      <c r="N98" s="184">
        <f>PMT(Constants!$D$21,M98,-NPV(Constants!$D$21,$J$91:L98))+Configurations!$D$62/M98</f>
        <v>1781.6954999372774</v>
      </c>
      <c r="O98" s="212">
        <f t="shared" si="29"/>
        <v>840.73853114909002</v>
      </c>
    </row>
    <row r="99" spans="8:15" x14ac:dyDescent="0.3">
      <c r="H99" s="178">
        <v>9</v>
      </c>
      <c r="I99" s="192">
        <f>I98*(1-Constants!$D$11)</f>
        <v>0.95588957835755972</v>
      </c>
      <c r="J99" s="210">
        <f t="shared" si="26"/>
        <v>4.4110421642440278E-2</v>
      </c>
      <c r="K99" s="211">
        <f t="shared" si="27"/>
        <v>798.8328711015813</v>
      </c>
      <c r="L99" s="193">
        <f>K99*'Grid Power'!K26</f>
        <v>139.22750810795171</v>
      </c>
      <c r="M99" s="202">
        <f t="shared" si="28"/>
        <v>9</v>
      </c>
      <c r="N99" s="184">
        <f>PMT(Constants!$D$21,M99,-NPV(Constants!$D$21,$J$91:L99))+Configurations!$D$62/M99</f>
        <v>1643.5735462231703</v>
      </c>
      <c r="O99" s="212">
        <f t="shared" si="29"/>
        <v>840.73853114909002</v>
      </c>
    </row>
    <row r="100" spans="8:15" x14ac:dyDescent="0.3">
      <c r="H100" s="178">
        <v>10</v>
      </c>
      <c r="I100" s="192">
        <f>I99*(1-Constants!$D$11)</f>
        <v>0.95111013046577186</v>
      </c>
      <c r="J100" s="210">
        <f t="shared" si="26"/>
        <v>4.8889869534228136E-2</v>
      </c>
      <c r="K100" s="211">
        <f t="shared" si="27"/>
        <v>885.38792860309195</v>
      </c>
      <c r="L100" s="193">
        <f>K100*'Grid Power'!K27</f>
        <v>161.46231549526593</v>
      </c>
      <c r="M100" s="202">
        <f t="shared" si="28"/>
        <v>10</v>
      </c>
      <c r="N100" s="184">
        <f>PMT(Constants!$D$21,M100,-NPV(Constants!$D$21,$J$91:L100))+Configurations!$D$62/M100</f>
        <v>1535.6022114794812</v>
      </c>
      <c r="O100" s="212">
        <f t="shared" si="29"/>
        <v>840.73853114909002</v>
      </c>
    </row>
    <row r="101" spans="8:15" x14ac:dyDescent="0.3">
      <c r="H101" s="178">
        <v>11</v>
      </c>
      <c r="I101" s="192">
        <f>I100*(1-Constants!$D$11)</f>
        <v>0.94635457981344295</v>
      </c>
      <c r="J101" s="210">
        <f t="shared" si="26"/>
        <v>5.3645420186557047E-2</v>
      </c>
      <c r="K101" s="211">
        <f t="shared" si="27"/>
        <v>971.51021081709473</v>
      </c>
      <c r="L101" s="193">
        <f>K101*'Grid Power'!K28</f>
        <v>185.39519751890103</v>
      </c>
      <c r="M101" s="202">
        <f t="shared" si="28"/>
        <v>11</v>
      </c>
      <c r="N101" s="184">
        <f>PMT(Constants!$D$21,M101,-NPV(Constants!$D$21,$J$91:L101))+Configurations!$D$62/M101</f>
        <v>1449.1634237920314</v>
      </c>
      <c r="O101" s="212">
        <f t="shared" si="29"/>
        <v>840.73853114909002</v>
      </c>
    </row>
    <row r="102" spans="8:15" x14ac:dyDescent="0.3">
      <c r="H102" s="178">
        <v>12</v>
      </c>
      <c r="I102" s="192">
        <f>I101*(1-Constants!$D$11)</f>
        <v>0.94162280691437572</v>
      </c>
      <c r="J102" s="210">
        <f t="shared" si="26"/>
        <v>5.8377193085624279E-2</v>
      </c>
      <c r="K102" s="211">
        <f t="shared" si="27"/>
        <v>1057.2018816200271</v>
      </c>
      <c r="L102" s="193">
        <f>K102*'Grid Power'!K29</f>
        <v>211.13818389185496</v>
      </c>
      <c r="M102" s="202">
        <f t="shared" si="28"/>
        <v>12</v>
      </c>
      <c r="N102" s="184">
        <f>PMT(Constants!$D$21,M102,-NPV(Constants!$D$21,$J$91:L102))+Configurations!$D$62/M102</f>
        <v>1378.5539638915645</v>
      </c>
      <c r="O102" s="212">
        <f t="shared" si="29"/>
        <v>840.73853114909002</v>
      </c>
    </row>
    <row r="103" spans="8:15" x14ac:dyDescent="0.3">
      <c r="H103" s="178">
        <v>13</v>
      </c>
      <c r="I103" s="192">
        <f>I102*(1-Constants!$D$11)</f>
        <v>0.93691469287980389</v>
      </c>
      <c r="J103" s="210">
        <f t="shared" si="26"/>
        <v>6.308530712019611E-2</v>
      </c>
      <c r="K103" s="211">
        <f t="shared" si="27"/>
        <v>1142.4650940689435</v>
      </c>
      <c r="L103" s="193">
        <f>K103*'Grid Power'!K30</f>
        <v>238.81021402944472</v>
      </c>
      <c r="M103" s="202">
        <f t="shared" si="28"/>
        <v>13</v>
      </c>
      <c r="N103" s="184">
        <f>PMT(Constants!$D$21,M103,-NPV(Constants!$D$21,$J$91:L103))+Configurations!$D$62/M103</f>
        <v>1319.8605032783928</v>
      </c>
      <c r="O103" s="212">
        <f t="shared" si="29"/>
        <v>840.73853114909002</v>
      </c>
    </row>
    <row r="104" spans="8:15" x14ac:dyDescent="0.3">
      <c r="H104" s="178">
        <v>14</v>
      </c>
      <c r="I104" s="192">
        <f>I103*(1-Constants!$D$11)</f>
        <v>0.9322301194154049</v>
      </c>
      <c r="J104" s="210">
        <f t="shared" si="26"/>
        <v>6.7769880584595099E-2</v>
      </c>
      <c r="K104" s="211">
        <f t="shared" si="27"/>
        <v>1227.3019904556156</v>
      </c>
      <c r="L104" s="193">
        <f>K104*'Grid Power'!K31</f>
        <v>268.53754558659693</v>
      </c>
      <c r="M104" s="202">
        <f t="shared" si="28"/>
        <v>14</v>
      </c>
      <c r="N104" s="184">
        <f>PMT(Constants!$D$21,M104,-NPV(Constants!$D$21,$J$91:L104))+Configurations!$D$62/M104</f>
        <v>1270.3170944020112</v>
      </c>
      <c r="O104" s="212">
        <f t="shared" si="29"/>
        <v>840.73853114909002</v>
      </c>
    </row>
    <row r="105" spans="8:15" x14ac:dyDescent="0.3">
      <c r="H105" s="178">
        <v>15</v>
      </c>
      <c r="I105" s="192">
        <f>I104*(1-Constants!$D$11)</f>
        <v>0.92756896881832784</v>
      </c>
      <c r="J105" s="210">
        <f t="shared" si="26"/>
        <v>7.2431031181672156E-2</v>
      </c>
      <c r="K105" s="211">
        <f t="shared" si="27"/>
        <v>1311.7147023603554</v>
      </c>
      <c r="L105" s="193">
        <f>K105*'Grid Power'!K32</f>
        <v>300.45418644185492</v>
      </c>
      <c r="M105" s="202">
        <f t="shared" si="28"/>
        <v>15</v>
      </c>
      <c r="N105" s="184">
        <f>PMT(Constants!$D$21,M105,-NPV(Constants!$D$21,$J$91:L105))+Configurations!$D$62/M105</f>
        <v>1227.9199426730238</v>
      </c>
      <c r="O105" s="212">
        <f t="shared" si="29"/>
        <v>840.73853114909002</v>
      </c>
    </row>
    <row r="106" spans="8:15" x14ac:dyDescent="0.3">
      <c r="H106" s="178">
        <v>16</v>
      </c>
      <c r="I106" s="192">
        <f>I105*(1-Constants!$D$11)</f>
        <v>0.92293112397423616</v>
      </c>
      <c r="J106" s="210">
        <f t="shared" si="26"/>
        <v>7.7068876025763844E-2</v>
      </c>
      <c r="K106" s="211">
        <f t="shared" si="27"/>
        <v>1395.7053507055721</v>
      </c>
      <c r="L106" s="193">
        <f>K106*'Grid Power'!K33</f>
        <v>334.7023514444877</v>
      </c>
      <c r="M106" s="202">
        <f t="shared" si="28"/>
        <v>16</v>
      </c>
      <c r="N106" s="184">
        <f>PMT(Constants!$D$21,M106,-NPV(Constants!$D$21,$J$91:L106))+Configurations!$D$62/M106</f>
        <v>1191.1868771788475</v>
      </c>
      <c r="O106" s="212">
        <f t="shared" si="29"/>
        <v>840.73853114909002</v>
      </c>
    </row>
    <row r="107" spans="8:15" x14ac:dyDescent="0.3">
      <c r="H107" s="178">
        <v>17</v>
      </c>
      <c r="I107" s="192">
        <f>I106*(1-Constants!$D$11)</f>
        <v>0.91831646835436498</v>
      </c>
      <c r="J107" s="210">
        <f t="shared" si="26"/>
        <v>8.1683531645635021E-2</v>
      </c>
      <c r="K107" s="211">
        <f t="shared" si="27"/>
        <v>1479.2760458090615</v>
      </c>
      <c r="L107" s="193">
        <f>K107*'Grid Power'!K34</f>
        <v>371.43294531376785</v>
      </c>
      <c r="M107" s="202">
        <f t="shared" si="28"/>
        <v>17</v>
      </c>
      <c r="N107" s="184">
        <f>PMT(Constants!$D$21,M107,-NPV(Constants!$D$21,$J$91:L107))+Configurations!$D$62/M107</f>
        <v>1159.0019189896905</v>
      </c>
      <c r="O107" s="212">
        <f t="shared" si="29"/>
        <v>840.73853114909002</v>
      </c>
    </row>
    <row r="108" spans="8:15" x14ac:dyDescent="0.3">
      <c r="H108" s="178">
        <v>18</v>
      </c>
      <c r="I108" s="192">
        <f>I107*(1-Constants!$D$11)</f>
        <v>0.91372488601259316</v>
      </c>
      <c r="J108" s="210">
        <f t="shared" si="26"/>
        <v>8.6275113987406837E-2</v>
      </c>
      <c r="K108" s="211">
        <f t="shared" si="27"/>
        <v>1562.4288874370334</v>
      </c>
      <c r="L108" s="193">
        <f>K108*'Grid Power'!K35</f>
        <v>410.80607315612286</v>
      </c>
      <c r="M108" s="202">
        <f t="shared" si="28"/>
        <v>18</v>
      </c>
      <c r="N108" s="184">
        <f>PMT(Constants!$D$21,M108,-NPV(Constants!$D$21,$J$91:L108))+Configurations!$D$62/M108</f>
        <v>1130.5118368207286</v>
      </c>
      <c r="O108" s="212">
        <f t="shared" si="29"/>
        <v>840.73853114909002</v>
      </c>
    </row>
    <row r="109" spans="8:15" x14ac:dyDescent="0.3">
      <c r="H109" s="178">
        <v>19</v>
      </c>
      <c r="I109" s="192">
        <f>I108*(1-Constants!$D$11)</f>
        <v>0.90915626158253016</v>
      </c>
      <c r="J109" s="210">
        <f t="shared" si="26"/>
        <v>9.0843738417469844E-2</v>
      </c>
      <c r="K109" s="211">
        <f t="shared" si="27"/>
        <v>1645.1659648568664</v>
      </c>
      <c r="L109" s="193">
        <f>K109*'Grid Power'!K36</f>
        <v>452.99158014668444</v>
      </c>
      <c r="M109" s="202">
        <f t="shared" si="28"/>
        <v>19</v>
      </c>
      <c r="N109" s="184">
        <f>PMT(Constants!$D$21,M109,-NPV(Constants!$D$21,$J$91:L109))+Configurations!$D$62/M109</f>
        <v>1105.0555222724215</v>
      </c>
      <c r="O109" s="212">
        <f t="shared" si="29"/>
        <v>840.73853114909002</v>
      </c>
    </row>
    <row r="110" spans="8:15" x14ac:dyDescent="0.3">
      <c r="H110" s="178">
        <v>20</v>
      </c>
      <c r="I110" s="192">
        <f>I109*(1-Constants!$D$11)</f>
        <v>0.90461048027461755</v>
      </c>
      <c r="J110" s="210">
        <f t="shared" si="26"/>
        <v>9.5389519725382454E-2</v>
      </c>
      <c r="K110" s="211">
        <f t="shared" si="27"/>
        <v>1727.4893568895986</v>
      </c>
      <c r="L110" s="193">
        <f>K110*'Grid Power'!K37</f>
        <v>498.1696220069764</v>
      </c>
      <c r="M110" s="202">
        <f t="shared" si="28"/>
        <v>20</v>
      </c>
      <c r="N110" s="184">
        <f>PMT(Constants!$D$21,M110,-NPV(Constants!$D$21,$J$91:L110))+Configurations!$D$62/M110</f>
        <v>1082.114685123448</v>
      </c>
      <c r="O110" s="212">
        <f t="shared" si="29"/>
        <v>840.73853114909002</v>
      </c>
    </row>
    <row r="111" spans="8:15" x14ac:dyDescent="0.3">
      <c r="H111" s="178">
        <v>21</v>
      </c>
      <c r="I111" s="192">
        <f>I110*(1-Constants!$D$11)</f>
        <v>0.90008742787324447</v>
      </c>
      <c r="J111" s="210">
        <f t="shared" si="26"/>
        <v>9.9912572126755528E-2</v>
      </c>
      <c r="K111" s="211">
        <f t="shared" si="27"/>
        <v>1809.4011319621679</v>
      </c>
      <c r="L111" s="193">
        <f>K111*'Grid Power'!K38</f>
        <v>546.53126800033976</v>
      </c>
      <c r="M111" s="202">
        <f t="shared" si="28"/>
        <v>21</v>
      </c>
      <c r="N111" s="184">
        <f>PMT(Constants!$D$21,M111,-NPV(Constants!$D$21,$J$91:L111))+Configurations!$D$62/M111</f>
        <v>1061.2787509228961</v>
      </c>
      <c r="O111" s="212">
        <f t="shared" si="29"/>
        <v>840.73853114909002</v>
      </c>
    </row>
    <row r="112" spans="8:15" x14ac:dyDescent="0.3">
      <c r="H112" s="178">
        <v>22</v>
      </c>
      <c r="I112" s="192">
        <f>I111*(1-Constants!$D$11)</f>
        <v>0.89558699073387826</v>
      </c>
      <c r="J112" s="210">
        <f t="shared" si="26"/>
        <v>0.10441300926612174</v>
      </c>
      <c r="K112" s="211">
        <f t="shared" si="27"/>
        <v>1890.9033481593742</v>
      </c>
      <c r="L112" s="193">
        <f>K112*'Grid Power'!K39</f>
        <v>598.27913826142253</v>
      </c>
      <c r="M112" s="202">
        <f t="shared" si="28"/>
        <v>22</v>
      </c>
      <c r="N112" s="184">
        <f>PMT(Constants!$D$21,M112,-NPV(Constants!$D$21,$J$91:L112))+Configurations!$D$62/M112</f>
        <v>1042.2194322812365</v>
      </c>
      <c r="O112" s="212">
        <f t="shared" si="29"/>
        <v>840.73853114909002</v>
      </c>
    </row>
    <row r="113" spans="8:15" x14ac:dyDescent="0.3">
      <c r="H113" s="178">
        <v>23</v>
      </c>
      <c r="I113" s="192">
        <f>I112*(1-Constants!$D$11)</f>
        <v>0.89110905578020883</v>
      </c>
      <c r="J113" s="210">
        <f t="shared" si="26"/>
        <v>0.10889094421979117</v>
      </c>
      <c r="K113" s="211">
        <f t="shared" si="27"/>
        <v>1971.9980532755956</v>
      </c>
      <c r="L113" s="193">
        <f>K113*'Grid Power'!K40</f>
        <v>653.62807737596881</v>
      </c>
      <c r="M113" s="202">
        <f t="shared" si="28"/>
        <v>23</v>
      </c>
      <c r="N113" s="184">
        <f>PMT(Constants!$D$21,M113,-NPV(Constants!$D$21,$J$91:L113))+Configurations!$D$62/M113</f>
        <v>1024.6720211984994</v>
      </c>
      <c r="O113" s="212">
        <f t="shared" si="29"/>
        <v>840.73853114909002</v>
      </c>
    </row>
    <row r="114" spans="8:15" x14ac:dyDescent="0.3">
      <c r="H114" s="178">
        <v>24</v>
      </c>
      <c r="I114" s="192">
        <f>I113*(1-Constants!$D$11)</f>
        <v>0.88665351050130781</v>
      </c>
      <c r="J114" s="210">
        <f t="shared" si="26"/>
        <v>0.11334648949869219</v>
      </c>
      <c r="K114" s="211">
        <f t="shared" si="27"/>
        <v>2052.6872848662347</v>
      </c>
      <c r="L114" s="193">
        <f>K114*'Grid Power'!K41</f>
        <v>712.80586623244358</v>
      </c>
      <c r="M114" s="202">
        <f t="shared" si="28"/>
        <v>24</v>
      </c>
      <c r="N114" s="184">
        <f>PMT(Constants!$D$21,M114,-NPV(Constants!$D$21,$J$91:L114))+Configurations!$D$62/M114</f>
        <v>1008.4214346704914</v>
      </c>
      <c r="O114" s="212">
        <f t="shared" si="29"/>
        <v>840.73853114909002</v>
      </c>
    </row>
    <row r="115" spans="8:15" x14ac:dyDescent="0.3">
      <c r="H115" s="178">
        <v>25</v>
      </c>
      <c r="I115" s="192">
        <f>I114*(1-Constants!$D$11)</f>
        <v>0.8822202429488013</v>
      </c>
      <c r="J115" s="210">
        <f t="shared" si="26"/>
        <v>0.1177797570511987</v>
      </c>
      <c r="K115" s="211">
        <f t="shared" si="27"/>
        <v>2132.97307029892</v>
      </c>
      <c r="L115" s="193">
        <f>K115*'Grid Power'!K42</f>
        <v>776.05397427808032</v>
      </c>
      <c r="M115" s="202">
        <f t="shared" si="28"/>
        <v>25</v>
      </c>
      <c r="N115" s="184">
        <f>PMT(Constants!$D$21,M115,-NPV(Constants!$D$21,$J$91:L115))+Configurations!$D$62/M115</f>
        <v>993.29167609881551</v>
      </c>
      <c r="O115" s="212">
        <f t="shared" si="29"/>
        <v>840.73853114909002</v>
      </c>
    </row>
    <row r="116" spans="8:15" x14ac:dyDescent="0.3">
      <c r="H116" s="178">
        <v>26</v>
      </c>
      <c r="I116" s="192">
        <f>I115*(1-Constants!$D$11)</f>
        <v>0.87780914173405733</v>
      </c>
      <c r="J116" s="210">
        <f t="shared" si="26"/>
        <v>0.12219085826594267</v>
      </c>
      <c r="K116" s="211">
        <f t="shared" si="27"/>
        <v>2212.8574268044422</v>
      </c>
      <c r="L116" s="193">
        <f>K116*'Grid Power'!K43</f>
        <v>843.62835442899109</v>
      </c>
      <c r="M116" s="202">
        <f t="shared" si="28"/>
        <v>26</v>
      </c>
      <c r="N116" s="184">
        <f>PMT(Constants!$D$21,M116,-NPV(Constants!$D$21,$J$91:L116))+Configurations!$D$62/M116</f>
        <v>979.13778709317694</v>
      </c>
      <c r="O116" s="212">
        <f t="shared" si="29"/>
        <v>840.73853114909002</v>
      </c>
    </row>
    <row r="117" spans="8:15" x14ac:dyDescent="0.3">
      <c r="H117" s="178">
        <v>27</v>
      </c>
      <c r="I117" s="192">
        <f>I116*(1-Constants!$D$11)</f>
        <v>0.87342009602538706</v>
      </c>
      <c r="J117" s="210">
        <f t="shared" si="26"/>
        <v>0.12657990397461294</v>
      </c>
      <c r="K117" s="211">
        <f t="shared" si="27"/>
        <v>2292.3423615274373</v>
      </c>
      <c r="L117" s="193">
        <f>K117*'Grid Power'!K44</f>
        <v>915.8002830073998</v>
      </c>
      <c r="M117" s="202">
        <f t="shared" si="28"/>
        <v>27</v>
      </c>
      <c r="N117" s="184">
        <f>PMT(Constants!$D$21,M117,-NPV(Constants!$D$21,$J$91:L117))+Configurations!$D$62/M117</f>
        <v>965.8396389215261</v>
      </c>
      <c r="O117" s="212">
        <f t="shared" si="29"/>
        <v>840.73853114909002</v>
      </c>
    </row>
    <row r="118" spans="8:15" x14ac:dyDescent="0.3">
      <c r="H118" s="178">
        <v>28</v>
      </c>
      <c r="I118" s="192">
        <f>I117*(1-Constants!$D$11)</f>
        <v>0.86905299554526017</v>
      </c>
      <c r="J118" s="210">
        <f t="shared" si="26"/>
        <v>0.13094700445473983</v>
      </c>
      <c r="K118" s="211">
        <f t="shared" si="27"/>
        <v>2371.4298715768168</v>
      </c>
      <c r="L118" s="193">
        <f>K118*'Grid Power'!K45</f>
        <v>992.8572472091671</v>
      </c>
      <c r="M118" s="202">
        <f t="shared" si="28"/>
        <v>28</v>
      </c>
      <c r="N118" s="184">
        <f>PMT(Constants!$D$21,M118,-NPV(Constants!$D$21,$J$91:L118))+Configurations!$D$62/M118</f>
        <v>953.29709920796972</v>
      </c>
      <c r="O118" s="212">
        <f t="shared" si="29"/>
        <v>840.73853114909002</v>
      </c>
    </row>
    <row r="119" spans="8:15" x14ac:dyDescent="0.3">
      <c r="H119" s="178">
        <v>29</v>
      </c>
      <c r="I119" s="192">
        <f>I118*(1-Constants!$D$11)</f>
        <v>0.86470773056753381</v>
      </c>
      <c r="J119" s="210">
        <f t="shared" si="26"/>
        <v>0.13529226943246619</v>
      </c>
      <c r="K119" s="211">
        <f t="shared" si="27"/>
        <v>2450.121944075951</v>
      </c>
      <c r="L119" s="193">
        <f>K119*'Grid Power'!K46</f>
        <v>1075.1038827419302</v>
      </c>
      <c r="M119" s="202">
        <f t="shared" si="28"/>
        <v>29</v>
      </c>
      <c r="N119" s="184">
        <f>PMT(Constants!$D$21,M119,-NPV(Constants!$D$21,$J$91:L119))+Configurations!$D$62/M119</f>
        <v>941.42623795899544</v>
      </c>
      <c r="O119" s="212">
        <f t="shared" si="29"/>
        <v>840.73853114909002</v>
      </c>
    </row>
    <row r="120" spans="8:15" x14ac:dyDescent="0.3">
      <c r="H120" s="178">
        <v>30</v>
      </c>
      <c r="I120" s="192">
        <f>I119*(1-Constants!$D$11)</f>
        <v>0.86038419191469617</v>
      </c>
      <c r="J120" s="210">
        <f t="shared" si="26"/>
        <v>0.13961580808530383</v>
      </c>
      <c r="K120" s="211">
        <f t="shared" si="27"/>
        <v>2528.4205562125881</v>
      </c>
      <c r="L120" s="193">
        <f>K120*'Grid Power'!K47</f>
        <v>1162.8629644187702</v>
      </c>
      <c r="M120" s="202">
        <f t="shared" si="28"/>
        <v>30</v>
      </c>
      <c r="N120" s="184">
        <f>PMT(Constants!$D$21,M120,-NPV(Constants!$D$21,$J$91:L120))+Configurations!$D$62/M120</f>
        <v>930.15632690577365</v>
      </c>
      <c r="O120" s="212">
        <f t="shared" si="29"/>
        <v>840.73853114909002</v>
      </c>
    </row>
    <row r="121" spans="8:15" x14ac:dyDescent="0.3">
      <c r="H121" s="178">
        <v>31</v>
      </c>
      <c r="I121" s="192">
        <f>I120*(1-Constants!$D$11)</f>
        <v>0.85608227095512268</v>
      </c>
      <c r="J121" s="210">
        <f t="shared" si="26"/>
        <v>0.14391772904487732</v>
      </c>
      <c r="K121" s="211">
        <f t="shared" si="27"/>
        <v>2606.3276752885427</v>
      </c>
      <c r="L121" s="193">
        <f>K121*'Grid Power'!K48</f>
        <v>1256.4764526447466</v>
      </c>
      <c r="M121" s="202">
        <f t="shared" si="28"/>
        <v>31</v>
      </c>
      <c r="N121" s="184">
        <f>PMT(Constants!$D$21,M121,-NPV(Constants!$D$21,$J$91:L121))+Configurations!$D$62/M121</f>
        <v>919.42744992940675</v>
      </c>
      <c r="O121" s="212">
        <f t="shared" si="29"/>
        <v>840.73853114909002</v>
      </c>
    </row>
    <row r="122" spans="8:15" x14ac:dyDescent="0.3">
      <c r="H122" s="178">
        <v>32</v>
      </c>
      <c r="I122" s="192">
        <f>I121*(1-Constants!$D$11)</f>
        <v>0.85180185960034704</v>
      </c>
      <c r="J122" s="210">
        <f t="shared" si="26"/>
        <v>0.14819814039965296</v>
      </c>
      <c r="K122" s="211">
        <f t="shared" si="27"/>
        <v>2683.8452587691177</v>
      </c>
      <c r="L122" s="193">
        <f>K122*'Grid Power'!K49</f>
        <v>1356.3065988942888</v>
      </c>
      <c r="M122" s="202">
        <f t="shared" si="28"/>
        <v>32</v>
      </c>
      <c r="N122" s="184">
        <f>PMT(Constants!$D$21,M122,-NPV(Constants!$D$21,$J$91:L122))+Configurations!$D$62/M122</f>
        <v>909.18858815398994</v>
      </c>
      <c r="O122" s="212">
        <f t="shared" si="29"/>
        <v>840.73853114909002</v>
      </c>
    </row>
    <row r="123" spans="8:15" x14ac:dyDescent="0.3">
      <c r="H123" s="178">
        <v>33</v>
      </c>
      <c r="I123" s="192">
        <f>I122*(1-Constants!$D$11)</f>
        <v>0.84754285030234533</v>
      </c>
      <c r="J123" s="210">
        <f t="shared" si="26"/>
        <v>0.15245714969765467</v>
      </c>
      <c r="K123" s="211">
        <f t="shared" si="27"/>
        <v>2760.9752543322893</v>
      </c>
      <c r="L123" s="193">
        <f>K123*'Grid Power'!K50</f>
        <v>1462.7371134468167</v>
      </c>
      <c r="M123" s="202">
        <f t="shared" si="28"/>
        <v>33</v>
      </c>
      <c r="N123" s="184">
        <f>PMT(Constants!$D$21,M123,-NPV(Constants!$D$21,$J$91:L123))+Configurations!$D$62/M123</f>
        <v>899.39607659379658</v>
      </c>
      <c r="O123" s="212">
        <f t="shared" si="29"/>
        <v>840.73853114909002</v>
      </c>
    </row>
    <row r="124" spans="8:15" x14ac:dyDescent="0.3">
      <c r="H124" s="178">
        <v>34</v>
      </c>
      <c r="I124" s="192">
        <f>I123*(1-Constants!$D$11)</f>
        <v>0.84330513605083357</v>
      </c>
      <c r="J124" s="210">
        <f t="shared" si="26"/>
        <v>0.15669486394916643</v>
      </c>
      <c r="K124" s="211">
        <f t="shared" si="27"/>
        <v>2837.7195999176456</v>
      </c>
      <c r="L124" s="193">
        <f>K124*'Grid Power'!K51</f>
        <v>1576.1743988264623</v>
      </c>
      <c r="M124" s="202">
        <f t="shared" si="28"/>
        <v>34</v>
      </c>
      <c r="N124" s="184">
        <f>PMT(Constants!$D$21,M124,-NPV(Constants!$D$21,$J$91:L124))+Configurations!$D$62/M124</f>
        <v>890.01235370869995</v>
      </c>
      <c r="O124" s="212">
        <f t="shared" si="29"/>
        <v>840.73853114909002</v>
      </c>
    </row>
    <row r="125" spans="8:15" x14ac:dyDescent="0.3">
      <c r="H125" s="178">
        <v>35</v>
      </c>
      <c r="I125" s="192">
        <f>I124*(1-Constants!$D$11)</f>
        <v>0.83908861037057936</v>
      </c>
      <c r="J125" s="210">
        <f t="shared" si="26"/>
        <v>0.16091138962942064</v>
      </c>
      <c r="K125" s="211">
        <f t="shared" si="27"/>
        <v>2914.0802237750759</v>
      </c>
      <c r="L125" s="193">
        <f>K125*'Grid Power'!K52</f>
        <v>1697.0488525799403</v>
      </c>
      <c r="M125" s="202">
        <f t="shared" si="28"/>
        <v>35</v>
      </c>
      <c r="N125" s="184">
        <f>PMT(Constants!$D$21,M125,-NPV(Constants!$D$21,$J$91:L125))+Configurations!$D$62/M125</f>
        <v>881.00494338147473</v>
      </c>
      <c r="O125" s="212">
        <f t="shared" si="29"/>
        <v>840.73853114909002</v>
      </c>
    </row>
    <row r="126" spans="8:15" x14ac:dyDescent="0.3">
      <c r="H126" s="178">
        <v>36</v>
      </c>
      <c r="I126" s="192">
        <f>I125*(1-Constants!$D$11)</f>
        <v>0.83489316731872643</v>
      </c>
      <c r="J126" s="210">
        <f t="shared" si="26"/>
        <v>0.16510683268127357</v>
      </c>
      <c r="K126" s="211">
        <f t="shared" si="27"/>
        <v>2990.0590445132184</v>
      </c>
      <c r="L126" s="193">
        <f>K126*'Grid Power'!K53</f>
        <v>1825.8162432249471</v>
      </c>
      <c r="M126" s="202">
        <f t="shared" si="28"/>
        <v>36</v>
      </c>
      <c r="N126" s="184">
        <f>PMT(Constants!$D$21,M126,-NPV(Constants!$D$21,$J$91:L126))+Configurations!$D$62/M126</f>
        <v>872.34562243541313</v>
      </c>
      <c r="O126" s="212">
        <f t="shared" si="29"/>
        <v>840.73853114909002</v>
      </c>
    </row>
    <row r="127" spans="8:15" x14ac:dyDescent="0.3">
      <c r="H127" s="178">
        <v>37</v>
      </c>
      <c r="I127" s="192">
        <f>I126*(1-Constants!$D$11)</f>
        <v>0.83071870148213278</v>
      </c>
      <c r="J127" s="210">
        <f t="shared" si="26"/>
        <v>0.16928129851786722</v>
      </c>
      <c r="K127" s="211">
        <f t="shared" si="27"/>
        <v>3065.6579711476697</v>
      </c>
      <c r="L127" s="193">
        <f>K127*'Grid Power'!K54</f>
        <v>1962.9591634105129</v>
      </c>
      <c r="M127" s="202">
        <f t="shared" si="28"/>
        <v>37</v>
      </c>
      <c r="N127" s="184">
        <f>PMT(Constants!$D$21,M127,-NPV(Constants!$D$21,$J$91:L127))+Configurations!$D$62/M127</f>
        <v>864.00973709294306</v>
      </c>
      <c r="O127" s="212">
        <f t="shared" si="29"/>
        <v>840.73853114909002</v>
      </c>
    </row>
    <row r="128" spans="8:15" x14ac:dyDescent="0.3">
      <c r="H128" s="178">
        <v>38</v>
      </c>
      <c r="I128" s="192">
        <f>I127*(1-Constants!$D$11)</f>
        <v>0.82656510797472216</v>
      </c>
      <c r="J128" s="210">
        <f t="shared" si="26"/>
        <v>0.17343489202527784</v>
      </c>
      <c r="K128" s="211">
        <f t="shared" si="27"/>
        <v>3140.8789031489482</v>
      </c>
      <c r="L128" s="193">
        <f>K128*'Grid Power'!K55</f>
        <v>2108.9885645510567</v>
      </c>
      <c r="M128" s="202">
        <f t="shared" si="28"/>
        <v>38</v>
      </c>
      <c r="N128" s="184">
        <f>PMT(Constants!$D$21,M128,-NPV(Constants!$D$21,$J$91:L128))+Configurations!$D$62/M128</f>
        <v>855.97563961102378</v>
      </c>
      <c r="O128" s="212">
        <f t="shared" si="29"/>
        <v>840.73853114909002</v>
      </c>
    </row>
    <row r="129" spans="8:15" x14ac:dyDescent="0.3">
      <c r="H129" s="178">
        <v>39</v>
      </c>
      <c r="I129" s="192">
        <f>I128*(1-Constants!$D$11)</f>
        <v>0.82243228243484856</v>
      </c>
      <c r="J129" s="210">
        <f t="shared" si="26"/>
        <v>0.17756771756515144</v>
      </c>
      <c r="K129" s="211">
        <f t="shared" si="27"/>
        <v>3215.7237304902205</v>
      </c>
      <c r="L129" s="193">
        <f>K129*'Grid Power'!K56</f>
        <v>2264.4453774281101</v>
      </c>
      <c r="M129" s="202">
        <f t="shared" si="28"/>
        <v>39</v>
      </c>
      <c r="N129" s="184">
        <f>PMT(Constants!$D$21,M129,-NPV(Constants!$D$21,$J$91:L129))+Configurations!$D$62/M129</f>
        <v>848.22422234542341</v>
      </c>
      <c r="O129" s="212">
        <f t="shared" si="29"/>
        <v>840.73853114909002</v>
      </c>
    </row>
    <row r="130" spans="8:15" x14ac:dyDescent="0.3">
      <c r="H130" s="196">
        <v>40</v>
      </c>
      <c r="I130" s="197">
        <f>I129*(1-Constants!$D$11)</f>
        <v>0.81832012102267426</v>
      </c>
      <c r="J130" s="213">
        <f t="shared" si="26"/>
        <v>0.18167987897732574</v>
      </c>
      <c r="K130" s="280">
        <f t="shared" si="27"/>
        <v>3290.1943336947879</v>
      </c>
      <c r="L130" s="199">
        <f>K130*'Grid Power'!K57</f>
        <v>2429.9022234984168</v>
      </c>
      <c r="M130" s="214">
        <f t="shared" si="28"/>
        <v>40</v>
      </c>
      <c r="N130" s="191">
        <f>PMT(Constants!$D$21,M130,-NPV(Constants!$D$21,$J$91:L130))+Configurations!$D$62/M130</f>
        <v>840.73853114909002</v>
      </c>
      <c r="O130" s="212">
        <f t="shared" si="29"/>
        <v>840.73853114909002</v>
      </c>
    </row>
  </sheetData>
  <mergeCells count="42">
    <mergeCell ref="H88:H89"/>
    <mergeCell ref="I88:I89"/>
    <mergeCell ref="J88:J89"/>
    <mergeCell ref="M88:M89"/>
    <mergeCell ref="B20:B23"/>
    <mergeCell ref="W41:Y41"/>
    <mergeCell ref="Z41:AB41"/>
    <mergeCell ref="AE41:AF41"/>
    <mergeCell ref="I42:I43"/>
    <mergeCell ref="H86:N86"/>
    <mergeCell ref="H87:L87"/>
    <mergeCell ref="M87:N87"/>
    <mergeCell ref="Z15:AB15"/>
    <mergeCell ref="AE15:AF15"/>
    <mergeCell ref="I16:I17"/>
    <mergeCell ref="H40:AF40"/>
    <mergeCell ref="H41:H43"/>
    <mergeCell ref="I41:K41"/>
    <mergeCell ref="L41:O41"/>
    <mergeCell ref="P41:Q41"/>
    <mergeCell ref="R41:S41"/>
    <mergeCell ref="T41:V41"/>
    <mergeCell ref="AE4:AF4"/>
    <mergeCell ref="I5:I6"/>
    <mergeCell ref="H14:AF14"/>
    <mergeCell ref="H15:H17"/>
    <mergeCell ref="I15:K15"/>
    <mergeCell ref="L15:O15"/>
    <mergeCell ref="P15:Q15"/>
    <mergeCell ref="R15:S15"/>
    <mergeCell ref="T15:V15"/>
    <mergeCell ref="W15:Y15"/>
    <mergeCell ref="B3:F3"/>
    <mergeCell ref="H3:AF3"/>
    <mergeCell ref="H4:H6"/>
    <mergeCell ref="I4:K4"/>
    <mergeCell ref="L4:O4"/>
    <mergeCell ref="P4:Q4"/>
    <mergeCell ref="R4:S4"/>
    <mergeCell ref="T4:V4"/>
    <mergeCell ref="W4:Y4"/>
    <mergeCell ref="Z4:AB4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4"/>
  <sheetViews>
    <sheetView topLeftCell="A3" workbookViewId="0">
      <selection activeCell="J37" sqref="J37"/>
    </sheetView>
  </sheetViews>
  <sheetFormatPr defaultColWidth="8.85546875" defaultRowHeight="15" x14ac:dyDescent="0.25"/>
  <sheetData>
    <row r="1" spans="1:2" x14ac:dyDescent="0.25">
      <c r="A1" t="s">
        <v>22</v>
      </c>
    </row>
    <row r="2" spans="1:2" x14ac:dyDescent="0.25">
      <c r="A2" t="s">
        <v>23</v>
      </c>
      <c r="B2" t="s">
        <v>24</v>
      </c>
    </row>
    <row r="3" spans="1:2" x14ac:dyDescent="0.25">
      <c r="B3" t="s">
        <v>25</v>
      </c>
    </row>
    <row r="5" spans="1:2" x14ac:dyDescent="0.25">
      <c r="B5" t="s">
        <v>26</v>
      </c>
    </row>
    <row r="7" spans="1:2" x14ac:dyDescent="0.25">
      <c r="B7" t="s">
        <v>29</v>
      </c>
    </row>
    <row r="8" spans="1:2" x14ac:dyDescent="0.25">
      <c r="B8" t="s">
        <v>30</v>
      </c>
    </row>
    <row r="10" spans="1:2" x14ac:dyDescent="0.25">
      <c r="B10" t="s">
        <v>31</v>
      </c>
    </row>
    <row r="11" spans="1:2" x14ac:dyDescent="0.25">
      <c r="B11" t="s">
        <v>32</v>
      </c>
    </row>
    <row r="13" spans="1:2" x14ac:dyDescent="0.25">
      <c r="B13" t="s">
        <v>33</v>
      </c>
    </row>
    <row r="14" spans="1:2" x14ac:dyDescent="0.25">
      <c r="B14" t="s">
        <v>34</v>
      </c>
    </row>
    <row r="15" spans="1:2" x14ac:dyDescent="0.25">
      <c r="B15" t="s">
        <v>35</v>
      </c>
    </row>
    <row r="16" spans="1:2" x14ac:dyDescent="0.25">
      <c r="B16" t="s">
        <v>36</v>
      </c>
    </row>
    <row r="17" spans="2:12" x14ac:dyDescent="0.25">
      <c r="B17" t="s">
        <v>37</v>
      </c>
    </row>
    <row r="18" spans="2:12" x14ac:dyDescent="0.25">
      <c r="B18" t="s">
        <v>38</v>
      </c>
    </row>
    <row r="20" spans="2:12" x14ac:dyDescent="0.25">
      <c r="B20" t="s">
        <v>40</v>
      </c>
    </row>
    <row r="21" spans="2:12" x14ac:dyDescent="0.25">
      <c r="B21" t="s">
        <v>39</v>
      </c>
      <c r="H21" t="s">
        <v>41</v>
      </c>
    </row>
    <row r="23" spans="2:12" x14ac:dyDescent="0.25">
      <c r="B23" t="s">
        <v>45</v>
      </c>
    </row>
    <row r="24" spans="2:12" x14ac:dyDescent="0.25">
      <c r="B24" t="s">
        <v>46</v>
      </c>
      <c r="J24">
        <v>2018</v>
      </c>
      <c r="K24">
        <v>2008</v>
      </c>
      <c r="L24" t="s">
        <v>50</v>
      </c>
    </row>
    <row r="25" spans="2:12" x14ac:dyDescent="0.25">
      <c r="B25" t="s">
        <v>49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47</v>
      </c>
      <c r="J27">
        <v>2018</v>
      </c>
      <c r="K27" s="5">
        <v>0.35499999999999998</v>
      </c>
    </row>
    <row r="28" spans="2:12" x14ac:dyDescent="0.25">
      <c r="B28" t="s">
        <v>48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51</v>
      </c>
    </row>
    <row r="33" spans="2:2" x14ac:dyDescent="0.25">
      <c r="B33" t="s">
        <v>263</v>
      </c>
    </row>
    <row r="34" spans="2:2" x14ac:dyDescent="0.25">
      <c r="B34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A65-7B3D-E248-900D-85B6D1E63997}">
  <sheetPr>
    <tabColor rgb="FF00B0F0"/>
  </sheetPr>
  <dimension ref="B2:K72"/>
  <sheetViews>
    <sheetView showGridLines="0" topLeftCell="A49" zoomScaleNormal="100" workbookViewId="0">
      <selection activeCell="H31" sqref="H31"/>
    </sheetView>
  </sheetViews>
  <sheetFormatPr defaultColWidth="11.42578125" defaultRowHeight="16.5" x14ac:dyDescent="0.3"/>
  <cols>
    <col min="1" max="1" width="11.42578125" style="168"/>
    <col min="2" max="2" width="20.7109375" style="168" bestFit="1" customWidth="1"/>
    <col min="3" max="3" width="15.5703125" style="168" bestFit="1" customWidth="1"/>
    <col min="4" max="4" width="14.28515625" style="168" bestFit="1" customWidth="1"/>
    <col min="5" max="5" width="13.85546875" style="168" bestFit="1" customWidth="1"/>
    <col min="6" max="6" width="13" style="168" bestFit="1" customWidth="1"/>
    <col min="7" max="7" width="11.85546875" style="168" bestFit="1" customWidth="1"/>
    <col min="8" max="8" width="9.7109375" style="168" bestFit="1" customWidth="1"/>
    <col min="9" max="9" width="17.42578125" style="168" bestFit="1" customWidth="1"/>
    <col min="10" max="10" width="11.85546875" style="168" bestFit="1" customWidth="1"/>
    <col min="11" max="16384" width="11.42578125" style="168"/>
  </cols>
  <sheetData>
    <row r="2" spans="2:11" s="168" customFormat="1" ht="129" x14ac:dyDescent="2.2000000000000002">
      <c r="B2" s="167" t="s">
        <v>227</v>
      </c>
    </row>
    <row r="3" spans="2:11" s="168" customFormat="1" x14ac:dyDescent="0.3">
      <c r="B3" s="168" t="s">
        <v>122</v>
      </c>
    </row>
    <row r="4" spans="2:11" s="168" customFormat="1" x14ac:dyDescent="0.3">
      <c r="B4" s="267" t="s">
        <v>123</v>
      </c>
      <c r="C4" s="267"/>
      <c r="D4" s="267"/>
      <c r="E4" s="267"/>
      <c r="F4" s="267"/>
      <c r="G4" s="267"/>
      <c r="H4" s="267"/>
      <c r="I4" s="267"/>
      <c r="J4" s="267"/>
      <c r="K4" s="267"/>
    </row>
    <row r="5" spans="2:11" s="168" customFormat="1" x14ac:dyDescent="0.3">
      <c r="B5" s="290" t="s">
        <v>5</v>
      </c>
      <c r="C5" s="290" t="s">
        <v>124</v>
      </c>
      <c r="D5" s="290" t="s">
        <v>129</v>
      </c>
      <c r="E5" s="290" t="s">
        <v>6</v>
      </c>
      <c r="F5" s="290" t="s">
        <v>125</v>
      </c>
      <c r="G5" s="290" t="s">
        <v>126</v>
      </c>
      <c r="H5" s="290" t="s">
        <v>146</v>
      </c>
      <c r="I5" s="290" t="s">
        <v>147</v>
      </c>
      <c r="J5" s="291" t="s">
        <v>127</v>
      </c>
      <c r="K5" s="291"/>
    </row>
    <row r="6" spans="2:11" s="168" customFormat="1" x14ac:dyDescent="0.3">
      <c r="B6" s="168" t="s">
        <v>74</v>
      </c>
      <c r="C6" s="168">
        <v>4</v>
      </c>
      <c r="D6" s="217">
        <v>238</v>
      </c>
      <c r="E6" s="217">
        <f>D6*C6</f>
        <v>952</v>
      </c>
      <c r="F6" s="168">
        <v>43</v>
      </c>
      <c r="G6" s="292">
        <v>0.3</v>
      </c>
      <c r="H6" s="217">
        <v>30</v>
      </c>
      <c r="I6" s="292" t="s">
        <v>148</v>
      </c>
      <c r="J6" s="168">
        <v>100</v>
      </c>
      <c r="K6" s="168" t="s">
        <v>128</v>
      </c>
    </row>
    <row r="7" spans="2:11" s="168" customFormat="1" x14ac:dyDescent="0.3">
      <c r="B7" s="168" t="s">
        <v>130</v>
      </c>
      <c r="C7" s="168">
        <v>1</v>
      </c>
      <c r="D7" s="217">
        <v>150</v>
      </c>
      <c r="E7" s="217">
        <f t="shared" ref="E7:E9" si="0">D7*C7</f>
        <v>150</v>
      </c>
      <c r="F7" s="168">
        <v>43</v>
      </c>
      <c r="G7" s="292">
        <v>0.3</v>
      </c>
      <c r="H7" s="217">
        <v>0</v>
      </c>
      <c r="I7" s="293">
        <v>10</v>
      </c>
    </row>
    <row r="8" spans="2:11" s="168" customFormat="1" x14ac:dyDescent="0.3">
      <c r="B8" s="168" t="s">
        <v>131</v>
      </c>
      <c r="C8" s="168">
        <v>1</v>
      </c>
      <c r="D8" s="217">
        <v>539.5</v>
      </c>
      <c r="E8" s="217">
        <f t="shared" si="0"/>
        <v>539.5</v>
      </c>
      <c r="F8" s="168">
        <v>43</v>
      </c>
      <c r="G8" s="292">
        <v>0.3</v>
      </c>
      <c r="H8" s="217">
        <v>0</v>
      </c>
      <c r="I8" s="293">
        <v>10</v>
      </c>
      <c r="J8" s="168">
        <v>1800</v>
      </c>
      <c r="K8" s="168" t="s">
        <v>132</v>
      </c>
    </row>
    <row r="9" spans="2:11" s="168" customFormat="1" x14ac:dyDescent="0.3">
      <c r="B9" s="168" t="s">
        <v>133</v>
      </c>
      <c r="C9" s="168">
        <v>8</v>
      </c>
      <c r="D9" s="217">
        <v>26</v>
      </c>
      <c r="E9" s="217">
        <f t="shared" si="0"/>
        <v>208</v>
      </c>
      <c r="F9" s="168">
        <v>43</v>
      </c>
      <c r="G9" s="292">
        <v>0.3</v>
      </c>
      <c r="H9" s="217">
        <v>0</v>
      </c>
      <c r="I9" s="293">
        <v>10</v>
      </c>
      <c r="J9" s="168">
        <v>96</v>
      </c>
      <c r="K9" s="168" t="s">
        <v>134</v>
      </c>
    </row>
    <row r="11" spans="2:11" s="168" customFormat="1" x14ac:dyDescent="0.3">
      <c r="B11" s="267" t="s">
        <v>139</v>
      </c>
      <c r="C11" s="267"/>
      <c r="G11" s="294"/>
    </row>
    <row r="12" spans="2:11" s="168" customFormat="1" x14ac:dyDescent="0.3">
      <c r="B12" s="207" t="s">
        <v>144</v>
      </c>
      <c r="C12" s="168">
        <v>4</v>
      </c>
      <c r="D12" s="168" t="s">
        <v>145</v>
      </c>
      <c r="G12" s="294"/>
    </row>
    <row r="13" spans="2:11" s="168" customFormat="1" x14ac:dyDescent="0.3">
      <c r="B13" s="207"/>
      <c r="G13" s="294"/>
    </row>
    <row r="14" spans="2:11" s="168" customFormat="1" x14ac:dyDescent="0.3">
      <c r="B14" s="207" t="s">
        <v>193</v>
      </c>
      <c r="G14" s="294"/>
    </row>
    <row r="15" spans="2:11" s="168" customFormat="1" x14ac:dyDescent="0.3">
      <c r="B15" s="168" t="s">
        <v>191</v>
      </c>
      <c r="C15" s="217">
        <f>E6*(1+Constants!$D$24)</f>
        <v>999.6</v>
      </c>
      <c r="G15" s="294"/>
    </row>
    <row r="16" spans="2:11" s="168" customFormat="1" x14ac:dyDescent="0.3">
      <c r="B16" s="168" t="s">
        <v>192</v>
      </c>
      <c r="C16" s="295">
        <f>SUM(E7:E9)*(1+Constants!$D$24)</f>
        <v>942.375</v>
      </c>
      <c r="D16" s="168" t="s">
        <v>219</v>
      </c>
      <c r="E16" s="168">
        <v>10</v>
      </c>
      <c r="F16" s="168" t="s">
        <v>156</v>
      </c>
    </row>
    <row r="17" spans="2:4" s="168" customFormat="1" x14ac:dyDescent="0.3">
      <c r="B17" s="168" t="s">
        <v>139</v>
      </c>
      <c r="C17" s="217">
        <f>C12*Constants!$D$26</f>
        <v>96</v>
      </c>
    </row>
    <row r="18" spans="2:4" s="168" customFormat="1" x14ac:dyDescent="0.3">
      <c r="B18" s="207" t="s">
        <v>87</v>
      </c>
      <c r="C18" s="296">
        <f>SUM(C15:C17)</f>
        <v>2037.9749999999999</v>
      </c>
    </row>
    <row r="23" spans="2:4" s="168" customFormat="1" x14ac:dyDescent="0.3">
      <c r="B23" s="267" t="s">
        <v>7</v>
      </c>
      <c r="C23" s="267"/>
    </row>
    <row r="24" spans="2:4" s="168" customFormat="1" x14ac:dyDescent="0.3">
      <c r="B24" s="168" t="s">
        <v>206</v>
      </c>
      <c r="C24" s="168">
        <f>C6*J6</f>
        <v>400</v>
      </c>
      <c r="D24" s="168" t="s">
        <v>132</v>
      </c>
    </row>
    <row r="26" spans="2:4" s="297" customFormat="1" x14ac:dyDescent="0.3"/>
    <row r="28" spans="2:4" s="168" customFormat="1" ht="129" x14ac:dyDescent="2.2000000000000002">
      <c r="B28" s="167" t="s">
        <v>228</v>
      </c>
    </row>
    <row r="29" spans="2:4" s="168" customFormat="1" x14ac:dyDescent="0.3">
      <c r="B29" s="168" t="s">
        <v>200</v>
      </c>
    </row>
    <row r="31" spans="2:4" s="168" customFormat="1" x14ac:dyDescent="0.3">
      <c r="B31" s="168" t="s">
        <v>206</v>
      </c>
      <c r="C31" s="168">
        <v>5</v>
      </c>
      <c r="D31" s="168" t="s">
        <v>211</v>
      </c>
    </row>
    <row r="32" spans="2:4" s="168" customFormat="1" x14ac:dyDescent="0.3">
      <c r="B32" s="168" t="s">
        <v>212</v>
      </c>
      <c r="C32" s="217">
        <f>Constants!$R$33</f>
        <v>4120</v>
      </c>
    </row>
    <row r="33" spans="2:8" s="168" customFormat="1" x14ac:dyDescent="0.3">
      <c r="B33" s="168" t="s">
        <v>213</v>
      </c>
      <c r="C33" s="217">
        <f>C31*Constants!$R$34</f>
        <v>14500</v>
      </c>
      <c r="E33" s="168" t="s">
        <v>253</v>
      </c>
    </row>
    <row r="34" spans="2:8" s="168" customFormat="1" x14ac:dyDescent="0.3">
      <c r="B34" s="168" t="s">
        <v>216</v>
      </c>
      <c r="C34" s="217">
        <f>C33+C32</f>
        <v>18620</v>
      </c>
      <c r="E34" s="168" t="s">
        <v>254</v>
      </c>
      <c r="F34" s="217">
        <f>PMT(Constants!$D$19+2%,5,-(Configurations!C34-Configurations!C35))</f>
        <v>3261.3641495711458</v>
      </c>
    </row>
    <row r="35" spans="2:8" s="168" customFormat="1" x14ac:dyDescent="0.3">
      <c r="B35" s="168" t="s">
        <v>163</v>
      </c>
      <c r="C35" s="194">
        <f>MIN(Configurations!$C$31*1000*Incentives!$C$5,Incentives!$F$5*Configurations!$C$34)+Configurations!$C$31*1000*Incentives!$C$6</f>
        <v>4500</v>
      </c>
      <c r="E35" s="168" t="s">
        <v>255</v>
      </c>
      <c r="F35" s="217">
        <f>PMT(Constants!$D$19+2%,15,-(Configurations!C34-Configurations!C35))</f>
        <v>1360.3531010425304</v>
      </c>
    </row>
    <row r="37" spans="2:8" s="168" customFormat="1" x14ac:dyDescent="0.3">
      <c r="B37" s="207" t="s">
        <v>4</v>
      </c>
      <c r="C37" s="207" t="s">
        <v>224</v>
      </c>
      <c r="D37" s="207" t="s">
        <v>6</v>
      </c>
      <c r="E37" s="298" t="s">
        <v>8</v>
      </c>
      <c r="F37" s="207" t="s">
        <v>225</v>
      </c>
      <c r="G37" s="207" t="s">
        <v>226</v>
      </c>
    </row>
    <row r="38" spans="2:8" s="168" customFormat="1" x14ac:dyDescent="0.3">
      <c r="B38" s="168" t="s">
        <v>74</v>
      </c>
      <c r="C38" s="292">
        <v>0.35</v>
      </c>
      <c r="D38" s="294">
        <f>C38*$C$34</f>
        <v>6517</v>
      </c>
      <c r="E38" s="168">
        <v>43</v>
      </c>
      <c r="F38" s="292">
        <v>0.3</v>
      </c>
    </row>
    <row r="39" spans="2:8" s="168" customFormat="1" x14ac:dyDescent="0.3">
      <c r="B39" s="168" t="s">
        <v>75</v>
      </c>
      <c r="C39" s="292">
        <v>0.2</v>
      </c>
      <c r="D39" s="294">
        <f t="shared" ref="D39:D44" si="1">C39*$C$34</f>
        <v>3724</v>
      </c>
      <c r="E39" s="168">
        <v>43</v>
      </c>
      <c r="F39" s="292">
        <v>0.3</v>
      </c>
      <c r="G39" s="168">
        <v>10</v>
      </c>
      <c r="H39" s="168" t="s">
        <v>156</v>
      </c>
    </row>
    <row r="40" spans="2:8" s="168" customFormat="1" x14ac:dyDescent="0.3">
      <c r="B40" s="168" t="s">
        <v>119</v>
      </c>
      <c r="C40" s="292">
        <v>0.09</v>
      </c>
      <c r="D40" s="294">
        <f t="shared" si="1"/>
        <v>1675.8</v>
      </c>
      <c r="E40" s="168">
        <v>17</v>
      </c>
      <c r="F40" s="292">
        <v>0.1</v>
      </c>
    </row>
    <row r="41" spans="2:8" s="168" customFormat="1" x14ac:dyDescent="0.3">
      <c r="B41" s="168" t="s">
        <v>118</v>
      </c>
      <c r="C41" s="292">
        <v>0.14000000000000001</v>
      </c>
      <c r="D41" s="294">
        <f t="shared" si="1"/>
        <v>2606.8000000000002</v>
      </c>
      <c r="E41" s="168">
        <v>8</v>
      </c>
      <c r="F41" s="292">
        <v>0.2</v>
      </c>
      <c r="G41" s="168">
        <v>10</v>
      </c>
      <c r="H41" s="168" t="s">
        <v>156</v>
      </c>
    </row>
    <row r="42" spans="2:8" s="168" customFormat="1" x14ac:dyDescent="0.3">
      <c r="B42" s="168" t="s">
        <v>77</v>
      </c>
      <c r="C42" s="292">
        <v>0.04</v>
      </c>
      <c r="D42" s="294">
        <f t="shared" si="1"/>
        <v>744.80000000000007</v>
      </c>
      <c r="E42" s="168" t="s">
        <v>120</v>
      </c>
      <c r="F42" s="168" t="s">
        <v>120</v>
      </c>
    </row>
    <row r="43" spans="2:8" s="168" customFormat="1" x14ac:dyDescent="0.3">
      <c r="B43" s="168" t="s">
        <v>78</v>
      </c>
      <c r="C43" s="292">
        <v>0.02</v>
      </c>
      <c r="D43" s="294">
        <f t="shared" si="1"/>
        <v>372.40000000000003</v>
      </c>
      <c r="E43" s="168" t="s">
        <v>120</v>
      </c>
      <c r="F43" s="168" t="s">
        <v>120</v>
      </c>
    </row>
    <row r="44" spans="2:8" s="168" customFormat="1" x14ac:dyDescent="0.3">
      <c r="B44" s="168" t="s">
        <v>220</v>
      </c>
      <c r="C44" s="292">
        <v>0.16</v>
      </c>
      <c r="D44" s="294">
        <f t="shared" si="1"/>
        <v>2979.2000000000003</v>
      </c>
      <c r="E44" s="168" t="s">
        <v>120</v>
      </c>
      <c r="F44" s="168" t="s">
        <v>120</v>
      </c>
    </row>
    <row r="46" spans="2:8" s="168" customFormat="1" x14ac:dyDescent="0.3">
      <c r="C46" s="168" t="s">
        <v>232</v>
      </c>
      <c r="D46" s="168" t="s">
        <v>234</v>
      </c>
      <c r="E46" s="168" t="s">
        <v>235</v>
      </c>
    </row>
    <row r="47" spans="2:8" s="168" customFormat="1" x14ac:dyDescent="0.3">
      <c r="B47" s="168" t="s">
        <v>233</v>
      </c>
      <c r="C47" s="294">
        <f>SUM(D38:D39)</f>
        <v>10241</v>
      </c>
      <c r="D47" s="294">
        <f>D40</f>
        <v>1675.8</v>
      </c>
      <c r="E47" s="294">
        <f>D41</f>
        <v>2606.8000000000002</v>
      </c>
    </row>
    <row r="48" spans="2:8" s="168" customFormat="1" x14ac:dyDescent="0.3">
      <c r="B48" s="168" t="s">
        <v>126</v>
      </c>
      <c r="C48" s="292">
        <v>0.3</v>
      </c>
      <c r="D48" s="292">
        <v>0.1</v>
      </c>
      <c r="E48" s="292">
        <v>0.2</v>
      </c>
    </row>
    <row r="50" spans="2:8" s="299" customFormat="1" x14ac:dyDescent="0.3"/>
    <row r="52" spans="2:8" s="168" customFormat="1" ht="129" x14ac:dyDescent="2.2000000000000002">
      <c r="B52" s="167" t="s">
        <v>250</v>
      </c>
    </row>
    <row r="53" spans="2:8" s="168" customFormat="1" x14ac:dyDescent="0.3">
      <c r="B53" s="168" t="s">
        <v>251</v>
      </c>
    </row>
    <row r="55" spans="2:8" s="168" customFormat="1" x14ac:dyDescent="0.3">
      <c r="B55" s="168" t="s">
        <v>206</v>
      </c>
      <c r="C55" s="168">
        <v>10</v>
      </c>
      <c r="D55" s="168" t="s">
        <v>211</v>
      </c>
    </row>
    <row r="56" spans="2:8" s="168" customFormat="1" x14ac:dyDescent="0.3">
      <c r="B56" s="168" t="s">
        <v>212</v>
      </c>
      <c r="C56" s="217">
        <f>Constants!$R$33</f>
        <v>4120</v>
      </c>
    </row>
    <row r="57" spans="2:8" s="168" customFormat="1" x14ac:dyDescent="0.3">
      <c r="B57" s="168" t="s">
        <v>213</v>
      </c>
      <c r="C57" s="217">
        <f>C55*Constants!$R$34</f>
        <v>29000</v>
      </c>
      <c r="E57" s="168" t="s">
        <v>253</v>
      </c>
    </row>
    <row r="58" spans="2:8" s="168" customFormat="1" x14ac:dyDescent="0.3">
      <c r="B58" s="168" t="s">
        <v>216</v>
      </c>
      <c r="C58" s="217">
        <f>C57+C56</f>
        <v>33120</v>
      </c>
      <c r="D58" s="295"/>
      <c r="E58" s="168" t="s">
        <v>254</v>
      </c>
      <c r="F58" s="217">
        <f>PMT(Constants!$D$19+2%,5,-(Configurations!C58-Configurations!C59))</f>
        <v>5571.1121308538277</v>
      </c>
    </row>
    <row r="59" spans="2:8" s="168" customFormat="1" x14ac:dyDescent="0.3">
      <c r="B59" s="168" t="s">
        <v>163</v>
      </c>
      <c r="C59" s="194">
        <f>MIN(Configurations!$C$55*1000*Incentives!$C$5,Incentives!$F$5*Configurations!$C$58)+Configurations!$C$55*1000*Incentives!$C$6</f>
        <v>9000</v>
      </c>
      <c r="E59" s="168" t="s">
        <v>255</v>
      </c>
      <c r="F59" s="217">
        <f>PMT(Constants!$D$19+2%,15,-(Configurations!C58-Configurations!C59))</f>
        <v>2323.7759771349743</v>
      </c>
    </row>
    <row r="61" spans="2:8" s="168" customFormat="1" x14ac:dyDescent="0.3">
      <c r="B61" s="207" t="s">
        <v>4</v>
      </c>
      <c r="C61" s="207" t="s">
        <v>224</v>
      </c>
      <c r="D61" s="207" t="s">
        <v>6</v>
      </c>
      <c r="E61" s="298" t="s">
        <v>8</v>
      </c>
      <c r="F61" s="207" t="s">
        <v>225</v>
      </c>
      <c r="G61" s="207" t="s">
        <v>226</v>
      </c>
    </row>
    <row r="62" spans="2:8" s="168" customFormat="1" x14ac:dyDescent="0.3">
      <c r="B62" s="168" t="s">
        <v>74</v>
      </c>
      <c r="C62" s="292">
        <v>0.35</v>
      </c>
      <c r="D62" s="294">
        <f>C62*$C$58</f>
        <v>11592</v>
      </c>
      <c r="E62" s="168">
        <v>43</v>
      </c>
      <c r="F62" s="292">
        <v>0.3</v>
      </c>
    </row>
    <row r="63" spans="2:8" s="168" customFormat="1" x14ac:dyDescent="0.3">
      <c r="B63" s="168" t="s">
        <v>75</v>
      </c>
      <c r="C63" s="292">
        <v>0.2</v>
      </c>
      <c r="D63" s="294">
        <f t="shared" ref="D63:D68" si="2">C63*$C$58</f>
        <v>6624</v>
      </c>
      <c r="E63" s="168">
        <v>43</v>
      </c>
      <c r="F63" s="292">
        <v>0.3</v>
      </c>
      <c r="G63" s="168">
        <v>10</v>
      </c>
      <c r="H63" s="168" t="s">
        <v>156</v>
      </c>
    </row>
    <row r="64" spans="2:8" s="168" customFormat="1" x14ac:dyDescent="0.3">
      <c r="B64" s="168" t="s">
        <v>119</v>
      </c>
      <c r="C64" s="292">
        <v>0.09</v>
      </c>
      <c r="D64" s="294">
        <f t="shared" si="2"/>
        <v>2980.7999999999997</v>
      </c>
      <c r="E64" s="168">
        <v>17</v>
      </c>
      <c r="F64" s="292">
        <v>0.1</v>
      </c>
    </row>
    <row r="65" spans="2:8" s="168" customFormat="1" x14ac:dyDescent="0.3">
      <c r="B65" s="168" t="s">
        <v>118</v>
      </c>
      <c r="C65" s="292">
        <v>0.14000000000000001</v>
      </c>
      <c r="D65" s="294">
        <f t="shared" si="2"/>
        <v>4636.8</v>
      </c>
      <c r="E65" s="168">
        <v>8</v>
      </c>
      <c r="F65" s="292">
        <v>0.2</v>
      </c>
      <c r="G65" s="168">
        <v>10</v>
      </c>
      <c r="H65" s="168" t="s">
        <v>156</v>
      </c>
    </row>
    <row r="66" spans="2:8" s="168" customFormat="1" x14ac:dyDescent="0.3">
      <c r="B66" s="168" t="s">
        <v>77</v>
      </c>
      <c r="C66" s="292">
        <v>0.04</v>
      </c>
      <c r="D66" s="294">
        <f t="shared" si="2"/>
        <v>1324.8</v>
      </c>
      <c r="E66" s="168" t="s">
        <v>120</v>
      </c>
      <c r="F66" s="168" t="s">
        <v>120</v>
      </c>
    </row>
    <row r="67" spans="2:8" s="168" customFormat="1" x14ac:dyDescent="0.3">
      <c r="B67" s="168" t="s">
        <v>78</v>
      </c>
      <c r="C67" s="292">
        <v>0.02</v>
      </c>
      <c r="D67" s="294">
        <f t="shared" si="2"/>
        <v>662.4</v>
      </c>
      <c r="E67" s="168" t="s">
        <v>120</v>
      </c>
      <c r="F67" s="168" t="s">
        <v>120</v>
      </c>
    </row>
    <row r="68" spans="2:8" s="168" customFormat="1" x14ac:dyDescent="0.3">
      <c r="B68" s="168" t="s">
        <v>220</v>
      </c>
      <c r="C68" s="292">
        <v>0.16</v>
      </c>
      <c r="D68" s="294">
        <f t="shared" si="2"/>
        <v>5299.2</v>
      </c>
      <c r="E68" s="168" t="s">
        <v>120</v>
      </c>
      <c r="F68" s="168" t="s">
        <v>120</v>
      </c>
    </row>
    <row r="70" spans="2:8" s="168" customFormat="1" x14ac:dyDescent="0.3">
      <c r="C70" s="168" t="s">
        <v>232</v>
      </c>
      <c r="D70" s="168" t="s">
        <v>234</v>
      </c>
      <c r="E70" s="168" t="s">
        <v>235</v>
      </c>
    </row>
    <row r="71" spans="2:8" s="168" customFormat="1" x14ac:dyDescent="0.3">
      <c r="B71" s="168" t="s">
        <v>233</v>
      </c>
      <c r="C71" s="294">
        <f>SUM(D62:D63)</f>
        <v>18216</v>
      </c>
      <c r="D71" s="294">
        <f>D64</f>
        <v>2980.7999999999997</v>
      </c>
      <c r="E71" s="294">
        <f>D65</f>
        <v>4636.8</v>
      </c>
    </row>
    <row r="72" spans="2:8" s="168" customFormat="1" x14ac:dyDescent="0.3">
      <c r="B72" s="168" t="s">
        <v>126</v>
      </c>
      <c r="C72" s="292">
        <v>0.3</v>
      </c>
      <c r="D72" s="292">
        <v>0.1</v>
      </c>
      <c r="E72" s="292">
        <v>0.2</v>
      </c>
    </row>
  </sheetData>
  <mergeCells count="4">
    <mergeCell ref="J5:K5"/>
    <mergeCell ref="B4:K4"/>
    <mergeCell ref="B11:C11"/>
    <mergeCell ref="B23:C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sheetPr>
    <tabColor theme="9"/>
  </sheetPr>
  <dimension ref="B2:T58"/>
  <sheetViews>
    <sheetView showGridLines="0" workbookViewId="0">
      <selection activeCell="O17" sqref="O17"/>
    </sheetView>
  </sheetViews>
  <sheetFormatPr defaultColWidth="8.85546875" defaultRowHeight="15" x14ac:dyDescent="0.25"/>
  <cols>
    <col min="1" max="1" width="3.7109375" customWidth="1"/>
    <col min="3" max="3" width="5.140625" customWidth="1"/>
    <col min="5" max="5" width="9.42578125" bestFit="1" customWidth="1"/>
    <col min="7" max="7" width="11.28515625" bestFit="1" customWidth="1"/>
    <col min="8" max="8" width="12.42578125" bestFit="1" customWidth="1"/>
    <col min="9" max="10" width="11.42578125" bestFit="1" customWidth="1"/>
    <col min="11" max="12" width="11.42578125" customWidth="1"/>
    <col min="13" max="13" width="8.85546875" customWidth="1"/>
    <col min="14" max="14" width="20.7109375" bestFit="1" customWidth="1"/>
  </cols>
  <sheetData>
    <row r="2" spans="2:20" x14ac:dyDescent="0.25">
      <c r="C2" s="244" t="s">
        <v>53</v>
      </c>
      <c r="D2" s="244"/>
      <c r="E2" s="244"/>
      <c r="F2" s="244"/>
      <c r="G2" s="244"/>
      <c r="H2" s="244"/>
      <c r="I2" s="244"/>
      <c r="J2" s="244"/>
      <c r="K2" s="244"/>
      <c r="L2" s="68"/>
      <c r="N2" s="226" t="s">
        <v>113</v>
      </c>
      <c r="O2" s="227"/>
      <c r="P2" s="27"/>
      <c r="R2" s="5"/>
      <c r="S2" t="s">
        <v>70</v>
      </c>
    </row>
    <row r="3" spans="2:20" x14ac:dyDescent="0.25">
      <c r="C3" s="234" t="s">
        <v>56</v>
      </c>
      <c r="D3" s="84" t="s">
        <v>67</v>
      </c>
      <c r="E3" s="84" t="s">
        <v>68</v>
      </c>
      <c r="F3" s="84" t="s">
        <v>69</v>
      </c>
      <c r="G3" s="84" t="s">
        <v>85</v>
      </c>
      <c r="H3" s="84" t="s">
        <v>83</v>
      </c>
      <c r="I3" s="84" t="s">
        <v>84</v>
      </c>
      <c r="J3" s="84" t="s">
        <v>58</v>
      </c>
      <c r="K3" s="84" t="s">
        <v>87</v>
      </c>
      <c r="L3" s="218" t="s">
        <v>165</v>
      </c>
      <c r="N3" s="28" t="s">
        <v>67</v>
      </c>
      <c r="O3" s="29">
        <v>0.5</v>
      </c>
      <c r="R3" s="2"/>
      <c r="S3" t="s">
        <v>71</v>
      </c>
    </row>
    <row r="4" spans="2:20" x14ac:dyDescent="0.25">
      <c r="C4" s="234"/>
      <c r="D4" s="84" t="s">
        <v>60</v>
      </c>
      <c r="E4" s="84" t="s">
        <v>60</v>
      </c>
      <c r="F4" s="84" t="s">
        <v>60</v>
      </c>
      <c r="G4" s="84" t="s">
        <v>60</v>
      </c>
      <c r="H4" s="84" t="s">
        <v>60</v>
      </c>
      <c r="I4" s="84" t="s">
        <v>60</v>
      </c>
      <c r="J4" s="84" t="s">
        <v>60</v>
      </c>
      <c r="K4" s="84" t="s">
        <v>60</v>
      </c>
      <c r="L4" s="219" t="s">
        <v>60</v>
      </c>
      <c r="N4" s="28" t="s">
        <v>68</v>
      </c>
      <c r="O4" s="29">
        <v>0.25</v>
      </c>
      <c r="R4" s="2"/>
      <c r="S4" t="s">
        <v>72</v>
      </c>
      <c r="T4" s="6"/>
    </row>
    <row r="5" spans="2:20" x14ac:dyDescent="0.25">
      <c r="B5" s="233" t="s">
        <v>54</v>
      </c>
      <c r="C5" s="17">
        <v>2006</v>
      </c>
      <c r="D5" s="18">
        <v>3.5000000000000003E-2</v>
      </c>
      <c r="E5" s="18">
        <v>7.4999999999999997E-2</v>
      </c>
      <c r="F5" s="18">
        <v>0.105</v>
      </c>
      <c r="G5" s="18">
        <f t="shared" ref="G5:G36" si="0">D5*$O$3+E5*$O$4+F5*$O$5</f>
        <v>6.25E-2</v>
      </c>
      <c r="H5" s="235" t="s">
        <v>112</v>
      </c>
      <c r="I5" s="236"/>
      <c r="J5" s="236"/>
      <c r="K5" s="237"/>
      <c r="L5" s="237" t="s">
        <v>112</v>
      </c>
      <c r="N5" s="21" t="s">
        <v>69</v>
      </c>
      <c r="O5" s="30">
        <v>0.25</v>
      </c>
      <c r="R5" s="2"/>
      <c r="S5" t="s">
        <v>91</v>
      </c>
      <c r="T5" s="6"/>
    </row>
    <row r="6" spans="2:20" x14ac:dyDescent="0.25">
      <c r="B6" s="233"/>
      <c r="C6" s="19">
        <v>2007</v>
      </c>
      <c r="D6" s="20">
        <v>3.2000000000000001E-2</v>
      </c>
      <c r="E6" s="20">
        <v>7.1999999999999995E-2</v>
      </c>
      <c r="F6" s="20">
        <v>9.1999999999999998E-2</v>
      </c>
      <c r="G6" s="20">
        <f t="shared" si="0"/>
        <v>5.7000000000000002E-2</v>
      </c>
      <c r="H6" s="238"/>
      <c r="I6" s="239"/>
      <c r="J6" s="239"/>
      <c r="K6" s="240"/>
      <c r="L6" s="240"/>
      <c r="R6" s="2"/>
      <c r="S6" t="s">
        <v>237</v>
      </c>
      <c r="T6" s="6"/>
    </row>
    <row r="7" spans="2:20" x14ac:dyDescent="0.25">
      <c r="B7" s="233"/>
      <c r="C7" s="19">
        <v>2008</v>
      </c>
      <c r="D7" s="20">
        <v>2.7E-2</v>
      </c>
      <c r="E7" s="20">
        <v>7.2999999999999995E-2</v>
      </c>
      <c r="F7" s="20">
        <v>9.2999999999999999E-2</v>
      </c>
      <c r="G7" s="20">
        <f t="shared" si="0"/>
        <v>5.5E-2</v>
      </c>
      <c r="H7" s="238"/>
      <c r="I7" s="239"/>
      <c r="J7" s="239"/>
      <c r="K7" s="240"/>
      <c r="L7" s="240"/>
      <c r="N7" s="230" t="s">
        <v>114</v>
      </c>
      <c r="O7" s="231"/>
    </row>
    <row r="8" spans="2:20" x14ac:dyDescent="0.25">
      <c r="B8" s="233"/>
      <c r="C8" s="19">
        <v>2009</v>
      </c>
      <c r="D8" s="20">
        <v>4.2000000000000003E-2</v>
      </c>
      <c r="E8" s="20">
        <v>7.5999999999999998E-2</v>
      </c>
      <c r="F8" s="20">
        <v>9.0999999999999998E-2</v>
      </c>
      <c r="G8" s="20">
        <f t="shared" si="0"/>
        <v>6.275E-2</v>
      </c>
      <c r="H8" s="238"/>
      <c r="I8" s="239"/>
      <c r="J8" s="239"/>
      <c r="K8" s="240"/>
      <c r="L8" s="240"/>
      <c r="N8" s="31" t="s">
        <v>83</v>
      </c>
      <c r="O8" s="32">
        <v>0.16800000000000001</v>
      </c>
    </row>
    <row r="9" spans="2:20" x14ac:dyDescent="0.25">
      <c r="B9" s="233"/>
      <c r="C9" s="19">
        <v>2010</v>
      </c>
      <c r="D9" s="20">
        <v>5.2999999999999999E-2</v>
      </c>
      <c r="E9" s="20">
        <v>0.08</v>
      </c>
      <c r="F9" s="20">
        <v>9.9000000000000005E-2</v>
      </c>
      <c r="G9" s="20">
        <f t="shared" si="0"/>
        <v>7.1250000000000008E-2</v>
      </c>
      <c r="H9" s="238"/>
      <c r="I9" s="239"/>
      <c r="J9" s="239"/>
      <c r="K9" s="240"/>
      <c r="L9" s="240"/>
      <c r="N9" s="28" t="s">
        <v>84</v>
      </c>
      <c r="O9" s="33">
        <v>0.13</v>
      </c>
    </row>
    <row r="10" spans="2:20" x14ac:dyDescent="0.25">
      <c r="B10" s="233"/>
      <c r="C10" s="19">
        <v>2011</v>
      </c>
      <c r="D10" s="20">
        <v>5.8999999999999997E-2</v>
      </c>
      <c r="E10" s="20">
        <v>8.8999999999999996E-2</v>
      </c>
      <c r="F10" s="20">
        <v>0.107</v>
      </c>
      <c r="G10" s="20">
        <f t="shared" si="0"/>
        <v>7.85E-2</v>
      </c>
      <c r="H10" s="238"/>
      <c r="I10" s="239"/>
      <c r="J10" s="239"/>
      <c r="K10" s="240"/>
      <c r="L10" s="240"/>
      <c r="N10" s="21" t="s">
        <v>86</v>
      </c>
      <c r="O10" s="34">
        <v>0.05</v>
      </c>
    </row>
    <row r="11" spans="2:20" x14ac:dyDescent="0.25">
      <c r="B11" s="233"/>
      <c r="C11" s="19">
        <v>2012</v>
      </c>
      <c r="D11" s="20">
        <v>6.5000000000000002E-2</v>
      </c>
      <c r="E11" s="20">
        <v>0.1</v>
      </c>
      <c r="F11" s="20">
        <v>0.11700000000000001</v>
      </c>
      <c r="G11" s="20">
        <f t="shared" si="0"/>
        <v>8.6750000000000008E-2</v>
      </c>
      <c r="H11" s="238"/>
      <c r="I11" s="239"/>
      <c r="J11" s="239"/>
      <c r="K11" s="240"/>
      <c r="L11" s="240"/>
    </row>
    <row r="12" spans="2:20" x14ac:dyDescent="0.25">
      <c r="B12" s="233"/>
      <c r="C12" s="19">
        <v>2013</v>
      </c>
      <c r="D12" s="20">
        <v>6.7000000000000004E-2</v>
      </c>
      <c r="E12" s="20">
        <v>0.104</v>
      </c>
      <c r="F12" s="20">
        <v>0.124</v>
      </c>
      <c r="G12" s="20">
        <f t="shared" si="0"/>
        <v>9.0499999999999997E-2</v>
      </c>
      <c r="H12" s="238"/>
      <c r="I12" s="239"/>
      <c r="J12" s="239"/>
      <c r="K12" s="240"/>
      <c r="L12" s="240"/>
      <c r="N12" s="230" t="s">
        <v>115</v>
      </c>
      <c r="O12" s="232"/>
      <c r="P12" s="231"/>
    </row>
    <row r="13" spans="2:20" x14ac:dyDescent="0.25">
      <c r="B13" s="233"/>
      <c r="C13" s="19">
        <v>2014</v>
      </c>
      <c r="D13" s="20">
        <v>7.4999999999999997E-2</v>
      </c>
      <c r="E13" s="20">
        <v>0.112</v>
      </c>
      <c r="F13" s="20">
        <v>0.13500000000000001</v>
      </c>
      <c r="G13" s="20">
        <f t="shared" si="0"/>
        <v>9.9250000000000005E-2</v>
      </c>
      <c r="H13" s="238"/>
      <c r="I13" s="239"/>
      <c r="J13" s="239"/>
      <c r="K13" s="240"/>
      <c r="L13" s="240"/>
      <c r="N13" s="31" t="s">
        <v>88</v>
      </c>
      <c r="O13" s="35">
        <v>5.0999999999999997E-2</v>
      </c>
      <c r="P13" s="36" t="s">
        <v>89</v>
      </c>
    </row>
    <row r="14" spans="2:20" x14ac:dyDescent="0.25">
      <c r="B14" s="233"/>
      <c r="C14" s="19">
        <v>2015</v>
      </c>
      <c r="D14" s="20">
        <v>0.08</v>
      </c>
      <c r="E14" s="20">
        <v>0.122</v>
      </c>
      <c r="F14" s="20">
        <v>0.161</v>
      </c>
      <c r="G14" s="20">
        <f t="shared" si="0"/>
        <v>0.11075000000000002</v>
      </c>
      <c r="H14" s="238"/>
      <c r="I14" s="239"/>
      <c r="J14" s="239"/>
      <c r="K14" s="240"/>
      <c r="L14" s="243"/>
      <c r="N14" s="21" t="s">
        <v>90</v>
      </c>
      <c r="O14" s="37">
        <v>2.1999999999999999E-2</v>
      </c>
      <c r="P14" s="38" t="s">
        <v>89</v>
      </c>
    </row>
    <row r="15" spans="2:20" x14ac:dyDescent="0.25">
      <c r="B15" s="233"/>
      <c r="C15" s="19">
        <v>2016</v>
      </c>
      <c r="D15" s="20">
        <v>8.6999999999999994E-2</v>
      </c>
      <c r="E15" s="20">
        <v>0.13200000000000001</v>
      </c>
      <c r="F15" s="20">
        <v>0.18</v>
      </c>
      <c r="G15" s="20">
        <f t="shared" si="0"/>
        <v>0.1215</v>
      </c>
      <c r="H15" s="238"/>
      <c r="I15" s="239"/>
      <c r="J15" s="239"/>
      <c r="K15" s="240"/>
      <c r="L15" s="220">
        <v>9.9000000000000005E-2</v>
      </c>
    </row>
    <row r="16" spans="2:20" x14ac:dyDescent="0.25">
      <c r="B16" s="233"/>
      <c r="C16" s="19">
        <v>2017</v>
      </c>
      <c r="D16" s="20">
        <v>7.6999999999999999E-2</v>
      </c>
      <c r="E16" s="20">
        <v>0.113</v>
      </c>
      <c r="F16" s="20">
        <v>0.157</v>
      </c>
      <c r="G16" s="20">
        <f t="shared" si="0"/>
        <v>0.10600000000000001</v>
      </c>
      <c r="H16" s="241"/>
      <c r="I16" s="242"/>
      <c r="J16" s="242"/>
      <c r="K16" s="243"/>
      <c r="L16" s="221">
        <f>L15*(1+$O$16)</f>
        <v>9.9990000000000009E-2</v>
      </c>
      <c r="N16" s="61" t="s">
        <v>236</v>
      </c>
      <c r="O16" s="65">
        <v>0.01</v>
      </c>
      <c r="P16" s="135" t="s">
        <v>89</v>
      </c>
    </row>
    <row r="17" spans="2:14" x14ac:dyDescent="0.25">
      <c r="B17" s="233"/>
      <c r="C17" s="21">
        <v>2018</v>
      </c>
      <c r="D17" s="42">
        <v>6.5000000000000002E-2</v>
      </c>
      <c r="E17" s="43">
        <v>9.4E-2</v>
      </c>
      <c r="F17" s="44">
        <v>0.13200000000000001</v>
      </c>
      <c r="G17" s="11">
        <f t="shared" si="0"/>
        <v>8.8999999999999996E-2</v>
      </c>
      <c r="H17" s="11">
        <f>$O$8*G17</f>
        <v>1.4952E-2</v>
      </c>
      <c r="I17" s="11">
        <f>$O$9*$G$5</f>
        <v>8.1250000000000003E-3</v>
      </c>
      <c r="J17" s="12">
        <f t="shared" ref="J17:J57" si="1">G17*$O$10</f>
        <v>4.45E-3</v>
      </c>
      <c r="K17" s="22">
        <f t="shared" ref="K17:K57" si="2">J17+I17+H17+G17</f>
        <v>0.11652699999999999</v>
      </c>
      <c r="L17" s="222">
        <f t="shared" ref="L17:L57" si="3">L16*(1+$O$16)</f>
        <v>0.10098990000000001</v>
      </c>
      <c r="M17" s="7"/>
      <c r="N17" s="7"/>
    </row>
    <row r="18" spans="2:14" x14ac:dyDescent="0.25">
      <c r="B18" s="233" t="s">
        <v>55</v>
      </c>
      <c r="C18" s="23">
        <v>2019</v>
      </c>
      <c r="D18" s="24">
        <f t="shared" ref="D18:D57" si="4">D17*(1+$O$13)</f>
        <v>6.8315000000000001E-2</v>
      </c>
      <c r="E18" s="24">
        <f t="shared" ref="E18:E57" si="5">E17*(1+$O$13)</f>
        <v>9.8793999999999993E-2</v>
      </c>
      <c r="F18" s="24">
        <f t="shared" ref="F18:F57" si="6">F17*(1+$O$13)</f>
        <v>0.13873199999999999</v>
      </c>
      <c r="G18" s="24">
        <f t="shared" si="0"/>
        <v>9.3538999999999997E-2</v>
      </c>
      <c r="H18" s="25">
        <f t="shared" ref="H18:H57" si="7">H17*(1+$O$14)</f>
        <v>1.5280944000000001E-2</v>
      </c>
      <c r="I18" s="24">
        <f t="shared" ref="I18:I57" si="8">I17*(1+$O$14)</f>
        <v>8.3037500000000004E-3</v>
      </c>
      <c r="J18" s="26">
        <f t="shared" si="1"/>
        <v>4.67695E-3</v>
      </c>
      <c r="K18" s="136">
        <f t="shared" si="2"/>
        <v>0.121800644</v>
      </c>
      <c r="L18" s="138">
        <f t="shared" si="3"/>
        <v>0.101999799</v>
      </c>
    </row>
    <row r="19" spans="2:14" x14ac:dyDescent="0.25">
      <c r="B19" s="233"/>
      <c r="C19" s="23">
        <v>2020</v>
      </c>
      <c r="D19" s="24">
        <f t="shared" si="4"/>
        <v>7.1799064999999995E-2</v>
      </c>
      <c r="E19" s="24">
        <f t="shared" si="5"/>
        <v>0.10383249399999998</v>
      </c>
      <c r="F19" s="24">
        <f t="shared" si="6"/>
        <v>0.14580733199999998</v>
      </c>
      <c r="G19" s="24">
        <f t="shared" si="0"/>
        <v>9.8309489E-2</v>
      </c>
      <c r="H19" s="24">
        <f t="shared" si="7"/>
        <v>1.5617124768000002E-2</v>
      </c>
      <c r="I19" s="24">
        <f t="shared" si="8"/>
        <v>8.4864325000000001E-3</v>
      </c>
      <c r="J19" s="26">
        <f t="shared" si="1"/>
        <v>4.9154744500000003E-3</v>
      </c>
      <c r="K19" s="136">
        <f t="shared" si="2"/>
        <v>0.12732852071799999</v>
      </c>
      <c r="L19" s="138">
        <f t="shared" si="3"/>
        <v>0.10301979699000001</v>
      </c>
    </row>
    <row r="20" spans="2:14" x14ac:dyDescent="0.25">
      <c r="B20" s="233"/>
      <c r="C20" s="23">
        <v>2021</v>
      </c>
      <c r="D20" s="24">
        <f t="shared" si="4"/>
        <v>7.5460817314999984E-2</v>
      </c>
      <c r="E20" s="24">
        <f t="shared" si="5"/>
        <v>0.10912795119399997</v>
      </c>
      <c r="F20" s="24">
        <f t="shared" si="6"/>
        <v>0.15324350593199998</v>
      </c>
      <c r="G20" s="24">
        <f t="shared" si="0"/>
        <v>0.10332327293899998</v>
      </c>
      <c r="H20" s="24">
        <f t="shared" si="7"/>
        <v>1.5960701512896001E-2</v>
      </c>
      <c r="I20" s="24">
        <f t="shared" si="8"/>
        <v>8.6731340150000003E-3</v>
      </c>
      <c r="J20" s="26">
        <f t="shared" si="1"/>
        <v>5.1661636469499993E-3</v>
      </c>
      <c r="K20" s="136">
        <f t="shared" si="2"/>
        <v>0.13312327211384598</v>
      </c>
      <c r="L20" s="138">
        <f t="shared" si="3"/>
        <v>0.10404999495990001</v>
      </c>
    </row>
    <row r="21" spans="2:14" x14ac:dyDescent="0.25">
      <c r="B21" s="233"/>
      <c r="C21" s="23">
        <v>2022</v>
      </c>
      <c r="D21" s="24">
        <f t="shared" si="4"/>
        <v>7.9309318998064982E-2</v>
      </c>
      <c r="E21" s="24">
        <f t="shared" si="5"/>
        <v>0.11469347670489397</v>
      </c>
      <c r="F21" s="24">
        <f t="shared" si="6"/>
        <v>0.16105892473453196</v>
      </c>
      <c r="G21" s="24">
        <f t="shared" si="0"/>
        <v>0.10859275985888897</v>
      </c>
      <c r="H21" s="24">
        <f t="shared" si="7"/>
        <v>1.6311836946179714E-2</v>
      </c>
      <c r="I21" s="24">
        <f t="shared" si="8"/>
        <v>8.8639429633300005E-3</v>
      </c>
      <c r="J21" s="26">
        <f t="shared" si="1"/>
        <v>5.4296379929444491E-3</v>
      </c>
      <c r="K21" s="136">
        <f t="shared" si="2"/>
        <v>0.13919817776134313</v>
      </c>
      <c r="L21" s="138">
        <f t="shared" si="3"/>
        <v>0.10509049490949901</v>
      </c>
    </row>
    <row r="22" spans="2:14" x14ac:dyDescent="0.25">
      <c r="B22" s="233"/>
      <c r="C22" s="39">
        <v>2023</v>
      </c>
      <c r="D22" s="40">
        <f t="shared" si="4"/>
        <v>8.3354094266966286E-2</v>
      </c>
      <c r="E22" s="40">
        <f t="shared" si="5"/>
        <v>0.12054284401684355</v>
      </c>
      <c r="F22" s="40">
        <f t="shared" si="6"/>
        <v>0.16927292989599307</v>
      </c>
      <c r="G22" s="40">
        <f t="shared" si="0"/>
        <v>0.1141309906116923</v>
      </c>
      <c r="H22" s="40">
        <f t="shared" si="7"/>
        <v>1.6670697358995668E-2</v>
      </c>
      <c r="I22" s="40">
        <f t="shared" si="8"/>
        <v>9.0589497085232611E-3</v>
      </c>
      <c r="J22" s="41">
        <f t="shared" si="1"/>
        <v>5.7065495305846153E-3</v>
      </c>
      <c r="K22" s="137">
        <f t="shared" si="2"/>
        <v>0.14556718720979583</v>
      </c>
      <c r="L22" s="138">
        <f t="shared" si="3"/>
        <v>0.106141399858594</v>
      </c>
    </row>
    <row r="23" spans="2:14" x14ac:dyDescent="0.25">
      <c r="B23" s="233"/>
      <c r="C23" s="23">
        <v>2024</v>
      </c>
      <c r="D23" s="24">
        <f t="shared" si="4"/>
        <v>8.7605153074581554E-2</v>
      </c>
      <c r="E23" s="24">
        <f t="shared" si="5"/>
        <v>0.12669052906170256</v>
      </c>
      <c r="F23" s="24">
        <f t="shared" si="6"/>
        <v>0.1779058493206887</v>
      </c>
      <c r="G23" s="24">
        <f t="shared" si="0"/>
        <v>0.11995167113288858</v>
      </c>
      <c r="H23" s="24">
        <f t="shared" si="7"/>
        <v>1.7037452700893574E-2</v>
      </c>
      <c r="I23" s="24">
        <f t="shared" si="8"/>
        <v>9.2582466021107722E-3</v>
      </c>
      <c r="J23" s="26">
        <f t="shared" si="1"/>
        <v>5.9975835566444292E-3</v>
      </c>
      <c r="K23" s="136">
        <f t="shared" si="2"/>
        <v>0.15224495399253735</v>
      </c>
      <c r="L23" s="138">
        <f t="shared" si="3"/>
        <v>0.10720281385717995</v>
      </c>
    </row>
    <row r="24" spans="2:14" x14ac:dyDescent="0.25">
      <c r="B24" s="233"/>
      <c r="C24" s="23">
        <v>2025</v>
      </c>
      <c r="D24" s="24">
        <f t="shared" si="4"/>
        <v>9.2073015881385209E-2</v>
      </c>
      <c r="E24" s="24">
        <f t="shared" si="5"/>
        <v>0.13315174604384938</v>
      </c>
      <c r="F24" s="24">
        <f t="shared" si="6"/>
        <v>0.18697904763604381</v>
      </c>
      <c r="G24" s="24">
        <f t="shared" si="0"/>
        <v>0.1260692063606659</v>
      </c>
      <c r="H24" s="24">
        <f t="shared" si="7"/>
        <v>1.7412276660313232E-2</v>
      </c>
      <c r="I24" s="24">
        <f t="shared" si="8"/>
        <v>9.4619280273572099E-3</v>
      </c>
      <c r="J24" s="26">
        <f t="shared" si="1"/>
        <v>6.3034603180332953E-3</v>
      </c>
      <c r="K24" s="136">
        <f t="shared" si="2"/>
        <v>0.15924687136636964</v>
      </c>
      <c r="L24" s="138">
        <f t="shared" si="3"/>
        <v>0.10827484199575174</v>
      </c>
    </row>
    <row r="25" spans="2:14" x14ac:dyDescent="0.25">
      <c r="B25" s="233"/>
      <c r="C25" s="23">
        <v>2026</v>
      </c>
      <c r="D25" s="24">
        <f t="shared" si="4"/>
        <v>9.6768739691335842E-2</v>
      </c>
      <c r="E25" s="24">
        <f t="shared" si="5"/>
        <v>0.13994248509208571</v>
      </c>
      <c r="F25" s="24">
        <f t="shared" si="6"/>
        <v>0.19651497906548204</v>
      </c>
      <c r="G25" s="24">
        <f t="shared" si="0"/>
        <v>0.13249873588505984</v>
      </c>
      <c r="H25" s="24">
        <f t="shared" si="7"/>
        <v>1.7795346746840125E-2</v>
      </c>
      <c r="I25" s="24">
        <f t="shared" si="8"/>
        <v>9.6700904439590684E-3</v>
      </c>
      <c r="J25" s="26">
        <f t="shared" si="1"/>
        <v>6.624936794252992E-3</v>
      </c>
      <c r="K25" s="136">
        <f t="shared" si="2"/>
        <v>0.16658910987011202</v>
      </c>
      <c r="L25" s="138">
        <f t="shared" si="3"/>
        <v>0.10935759041570926</v>
      </c>
    </row>
    <row r="26" spans="2:14" x14ac:dyDescent="0.25">
      <c r="B26" s="233"/>
      <c r="C26" s="23">
        <v>2027</v>
      </c>
      <c r="D26" s="24">
        <f t="shared" si="4"/>
        <v>0.10170394541559397</v>
      </c>
      <c r="E26" s="24">
        <f t="shared" si="5"/>
        <v>0.14707955183178206</v>
      </c>
      <c r="F26" s="24">
        <f t="shared" si="6"/>
        <v>0.20653724299782161</v>
      </c>
      <c r="G26" s="24">
        <f t="shared" si="0"/>
        <v>0.13925617141519792</v>
      </c>
      <c r="H26" s="24">
        <f t="shared" si="7"/>
        <v>1.8186844375270607E-2</v>
      </c>
      <c r="I26" s="24">
        <f t="shared" si="8"/>
        <v>9.8828324337261689E-3</v>
      </c>
      <c r="J26" s="26">
        <f t="shared" si="1"/>
        <v>6.962808570759896E-3</v>
      </c>
      <c r="K26" s="136">
        <f t="shared" si="2"/>
        <v>0.17428865679495459</v>
      </c>
      <c r="L26" s="138">
        <f t="shared" si="3"/>
        <v>0.11045116631986636</v>
      </c>
    </row>
    <row r="27" spans="2:14" x14ac:dyDescent="0.25">
      <c r="B27" s="233"/>
      <c r="C27" s="23">
        <v>2028</v>
      </c>
      <c r="D27" s="24">
        <f t="shared" si="4"/>
        <v>0.10689084663178926</v>
      </c>
      <c r="E27" s="24">
        <f t="shared" si="5"/>
        <v>0.15458060897520293</v>
      </c>
      <c r="F27" s="24">
        <f t="shared" si="6"/>
        <v>0.2170706423907105</v>
      </c>
      <c r="G27" s="24">
        <f t="shared" si="0"/>
        <v>0.14635823615737298</v>
      </c>
      <c r="H27" s="24">
        <f t="shared" si="7"/>
        <v>1.8586954951526562E-2</v>
      </c>
      <c r="I27" s="24">
        <f t="shared" si="8"/>
        <v>1.0100254747268144E-2</v>
      </c>
      <c r="J27" s="26">
        <f t="shared" si="1"/>
        <v>7.3179118078686494E-3</v>
      </c>
      <c r="K27" s="136">
        <f t="shared" si="2"/>
        <v>0.18236335766403633</v>
      </c>
      <c r="L27" s="138">
        <f t="shared" si="3"/>
        <v>0.11155567798306502</v>
      </c>
    </row>
    <row r="28" spans="2:14" x14ac:dyDescent="0.25">
      <c r="B28" s="233"/>
      <c r="C28" s="23">
        <v>2029</v>
      </c>
      <c r="D28" s="24">
        <f t="shared" si="4"/>
        <v>0.11234227981001051</v>
      </c>
      <c r="E28" s="24">
        <f t="shared" si="5"/>
        <v>0.16246422003293826</v>
      </c>
      <c r="F28" s="24">
        <f t="shared" si="6"/>
        <v>0.22814124515263673</v>
      </c>
      <c r="G28" s="24">
        <f t="shared" si="0"/>
        <v>0.15382250620139898</v>
      </c>
      <c r="H28" s="24">
        <f t="shared" si="7"/>
        <v>1.8995867960460145E-2</v>
      </c>
      <c r="I28" s="24">
        <f t="shared" si="8"/>
        <v>1.0322460351708043E-2</v>
      </c>
      <c r="J28" s="26">
        <f t="shared" si="1"/>
        <v>7.6911253100699489E-3</v>
      </c>
      <c r="K28" s="136">
        <f t="shared" si="2"/>
        <v>0.1908319598236371</v>
      </c>
      <c r="L28" s="138">
        <f t="shared" si="3"/>
        <v>0.11267123476289567</v>
      </c>
    </row>
    <row r="29" spans="2:14" x14ac:dyDescent="0.25">
      <c r="B29" s="233"/>
      <c r="C29" s="23">
        <v>2030</v>
      </c>
      <c r="D29" s="24">
        <f t="shared" si="4"/>
        <v>0.11807173608032104</v>
      </c>
      <c r="E29" s="24">
        <f t="shared" si="5"/>
        <v>0.17074989525461809</v>
      </c>
      <c r="F29" s="24">
        <f t="shared" si="6"/>
        <v>0.23977644865542119</v>
      </c>
      <c r="G29" s="24">
        <f t="shared" si="0"/>
        <v>0.16166745401767035</v>
      </c>
      <c r="H29" s="24">
        <f t="shared" si="7"/>
        <v>1.9413777055590269E-2</v>
      </c>
      <c r="I29" s="24">
        <f t="shared" si="8"/>
        <v>1.054955447944562E-2</v>
      </c>
      <c r="J29" s="26">
        <f t="shared" si="1"/>
        <v>8.083372700883518E-3</v>
      </c>
      <c r="K29" s="136">
        <f t="shared" si="2"/>
        <v>0.19971415825358976</v>
      </c>
      <c r="L29" s="138">
        <f t="shared" si="3"/>
        <v>0.11379794711052463</v>
      </c>
    </row>
    <row r="30" spans="2:14" x14ac:dyDescent="0.25">
      <c r="B30" s="233"/>
      <c r="C30" s="23">
        <v>2031</v>
      </c>
      <c r="D30" s="24">
        <f t="shared" si="4"/>
        <v>0.12409339462041741</v>
      </c>
      <c r="E30" s="24">
        <f t="shared" si="5"/>
        <v>0.17945813991260359</v>
      </c>
      <c r="F30" s="24">
        <f t="shared" si="6"/>
        <v>0.25200504753684766</v>
      </c>
      <c r="G30" s="24">
        <f t="shared" si="0"/>
        <v>0.16991249417257154</v>
      </c>
      <c r="H30" s="24">
        <f t="shared" si="7"/>
        <v>1.9840880150813256E-2</v>
      </c>
      <c r="I30" s="24">
        <f t="shared" si="8"/>
        <v>1.0781644677993424E-2</v>
      </c>
      <c r="J30" s="26">
        <f t="shared" si="1"/>
        <v>8.4956247086285779E-3</v>
      </c>
      <c r="K30" s="136">
        <f t="shared" si="2"/>
        <v>0.20903064371000679</v>
      </c>
      <c r="L30" s="138">
        <f t="shared" si="3"/>
        <v>0.11493592658162988</v>
      </c>
    </row>
    <row r="31" spans="2:14" x14ac:dyDescent="0.25">
      <c r="B31" s="233"/>
      <c r="C31" s="23">
        <v>2032</v>
      </c>
      <c r="D31" s="24">
        <f t="shared" si="4"/>
        <v>0.1304221577460587</v>
      </c>
      <c r="E31" s="24">
        <f t="shared" si="5"/>
        <v>0.18861050504814636</v>
      </c>
      <c r="F31" s="24">
        <f t="shared" si="6"/>
        <v>0.26485730496122689</v>
      </c>
      <c r="G31" s="24">
        <f t="shared" si="0"/>
        <v>0.17857803137537265</v>
      </c>
      <c r="H31" s="24">
        <f t="shared" si="7"/>
        <v>2.0277379514131149E-2</v>
      </c>
      <c r="I31" s="24">
        <f t="shared" si="8"/>
        <v>1.101884086090928E-2</v>
      </c>
      <c r="J31" s="26">
        <f t="shared" si="1"/>
        <v>8.9289015687686324E-3</v>
      </c>
      <c r="K31" s="136">
        <f t="shared" si="2"/>
        <v>0.21880315331918171</v>
      </c>
      <c r="L31" s="138">
        <f t="shared" si="3"/>
        <v>0.11608528584744618</v>
      </c>
    </row>
    <row r="32" spans="2:14" x14ac:dyDescent="0.25">
      <c r="B32" s="233"/>
      <c r="C32" s="23">
        <v>2033</v>
      </c>
      <c r="D32" s="24">
        <f t="shared" si="4"/>
        <v>0.13707368779110768</v>
      </c>
      <c r="E32" s="24">
        <f t="shared" si="5"/>
        <v>0.19822964080560182</v>
      </c>
      <c r="F32" s="24">
        <f t="shared" si="6"/>
        <v>0.27836502751424946</v>
      </c>
      <c r="G32" s="24">
        <f t="shared" si="0"/>
        <v>0.18768551097551667</v>
      </c>
      <c r="H32" s="24">
        <f t="shared" si="7"/>
        <v>2.0723481863442035E-2</v>
      </c>
      <c r="I32" s="24">
        <f t="shared" si="8"/>
        <v>1.1261255359849284E-2</v>
      </c>
      <c r="J32" s="26">
        <f t="shared" si="1"/>
        <v>9.3842755487758348E-3</v>
      </c>
      <c r="K32" s="136">
        <f t="shared" si="2"/>
        <v>0.22905452374758384</v>
      </c>
      <c r="L32" s="138">
        <f t="shared" si="3"/>
        <v>0.11724613870592064</v>
      </c>
    </row>
    <row r="33" spans="2:14" x14ac:dyDescent="0.25">
      <c r="B33" s="233"/>
      <c r="C33" s="23">
        <v>2034</v>
      </c>
      <c r="D33" s="24">
        <f t="shared" si="4"/>
        <v>0.14406444586845416</v>
      </c>
      <c r="E33" s="24">
        <f t="shared" si="5"/>
        <v>0.2083393524866875</v>
      </c>
      <c r="F33" s="24">
        <f t="shared" si="6"/>
        <v>0.29256164391747619</v>
      </c>
      <c r="G33" s="24">
        <f t="shared" si="0"/>
        <v>0.197257472035268</v>
      </c>
      <c r="H33" s="24">
        <f t="shared" si="7"/>
        <v>2.1179398464437761E-2</v>
      </c>
      <c r="I33" s="24">
        <f t="shared" si="8"/>
        <v>1.1509002977765968E-2</v>
      </c>
      <c r="J33" s="26">
        <f t="shared" si="1"/>
        <v>9.8628736017634007E-3</v>
      </c>
      <c r="K33" s="136">
        <f t="shared" si="2"/>
        <v>0.23980874707923514</v>
      </c>
      <c r="L33" s="138">
        <f t="shared" si="3"/>
        <v>0.11841860009297984</v>
      </c>
    </row>
    <row r="34" spans="2:14" x14ac:dyDescent="0.25">
      <c r="B34" s="233"/>
      <c r="C34" s="23">
        <v>2035</v>
      </c>
      <c r="D34" s="24">
        <f t="shared" si="4"/>
        <v>0.15141173260774532</v>
      </c>
      <c r="E34" s="24">
        <f t="shared" si="5"/>
        <v>0.21896465946350854</v>
      </c>
      <c r="F34" s="24">
        <f t="shared" si="6"/>
        <v>0.30748228775726744</v>
      </c>
      <c r="G34" s="24">
        <f t="shared" si="0"/>
        <v>0.20731760310906666</v>
      </c>
      <c r="H34" s="24">
        <f t="shared" si="7"/>
        <v>2.1645345230655394E-2</v>
      </c>
      <c r="I34" s="24">
        <f t="shared" si="8"/>
        <v>1.176220104327682E-2</v>
      </c>
      <c r="J34" s="26">
        <f t="shared" si="1"/>
        <v>1.0365880155453333E-2</v>
      </c>
      <c r="K34" s="136">
        <f t="shared" si="2"/>
        <v>0.25109102953845219</v>
      </c>
      <c r="L34" s="138">
        <f t="shared" si="3"/>
        <v>0.11960278609390965</v>
      </c>
    </row>
    <row r="35" spans="2:14" x14ac:dyDescent="0.25">
      <c r="B35" s="233"/>
      <c r="C35" s="23">
        <v>2036</v>
      </c>
      <c r="D35" s="24">
        <f t="shared" si="4"/>
        <v>0.15913373097074032</v>
      </c>
      <c r="E35" s="24">
        <f t="shared" si="5"/>
        <v>0.23013185709614747</v>
      </c>
      <c r="F35" s="24">
        <f t="shared" si="6"/>
        <v>0.32316388443288807</v>
      </c>
      <c r="G35" s="24">
        <f t="shared" si="0"/>
        <v>0.21789080086762908</v>
      </c>
      <c r="H35" s="24">
        <f t="shared" si="7"/>
        <v>2.2121542825729812E-2</v>
      </c>
      <c r="I35" s="24">
        <f t="shared" si="8"/>
        <v>1.2020969466228909E-2</v>
      </c>
      <c r="J35" s="26">
        <f t="shared" si="1"/>
        <v>1.0894540043381454E-2</v>
      </c>
      <c r="K35" s="136">
        <f t="shared" si="2"/>
        <v>0.26292785320296924</v>
      </c>
      <c r="L35" s="138">
        <f t="shared" si="3"/>
        <v>0.12079881395484875</v>
      </c>
      <c r="N35" s="8"/>
    </row>
    <row r="36" spans="2:14" x14ac:dyDescent="0.25">
      <c r="B36" s="233"/>
      <c r="C36" s="23">
        <v>2037</v>
      </c>
      <c r="D36" s="24">
        <f t="shared" si="4"/>
        <v>0.16724955125024807</v>
      </c>
      <c r="E36" s="24">
        <f t="shared" si="5"/>
        <v>0.24186858180805099</v>
      </c>
      <c r="F36" s="24">
        <f t="shared" si="6"/>
        <v>0.33964524253896533</v>
      </c>
      <c r="G36" s="24">
        <f t="shared" si="0"/>
        <v>0.22900323171187811</v>
      </c>
      <c r="H36" s="24">
        <f t="shared" si="7"/>
        <v>2.2608216767895869E-2</v>
      </c>
      <c r="I36" s="24">
        <f t="shared" si="8"/>
        <v>1.2285430794485946E-2</v>
      </c>
      <c r="J36" s="26">
        <f t="shared" si="1"/>
        <v>1.1450161585593907E-2</v>
      </c>
      <c r="K36" s="136">
        <f t="shared" si="2"/>
        <v>0.27534704085985384</v>
      </c>
      <c r="L36" s="138">
        <f t="shared" si="3"/>
        <v>0.12200680209439724</v>
      </c>
    </row>
    <row r="37" spans="2:14" x14ac:dyDescent="0.25">
      <c r="B37" s="233"/>
      <c r="C37" s="39">
        <v>2038</v>
      </c>
      <c r="D37" s="40">
        <f t="shared" si="4"/>
        <v>0.17577927836401072</v>
      </c>
      <c r="E37" s="40">
        <f t="shared" si="5"/>
        <v>0.25420387948026157</v>
      </c>
      <c r="F37" s="40">
        <f t="shared" si="6"/>
        <v>0.35696714990845252</v>
      </c>
      <c r="G37" s="40">
        <f t="shared" ref="G37:G57" si="9">D37*$O$3+E37*$O$4+F37*$O$5</f>
        <v>0.24068239652918388</v>
      </c>
      <c r="H37" s="40">
        <f t="shared" si="7"/>
        <v>2.310559753678958E-2</v>
      </c>
      <c r="I37" s="40">
        <f t="shared" si="8"/>
        <v>1.2555710271964636E-2</v>
      </c>
      <c r="J37" s="41">
        <f t="shared" si="1"/>
        <v>1.2034119826459196E-2</v>
      </c>
      <c r="K37" s="137">
        <f t="shared" si="2"/>
        <v>0.28837782416439728</v>
      </c>
      <c r="L37" s="138">
        <f t="shared" si="3"/>
        <v>0.12322687011534121</v>
      </c>
    </row>
    <row r="38" spans="2:14" x14ac:dyDescent="0.25">
      <c r="B38" s="233"/>
      <c r="C38" s="23">
        <v>2039</v>
      </c>
      <c r="D38" s="24">
        <f t="shared" si="4"/>
        <v>0.18474402156057526</v>
      </c>
      <c r="E38" s="24">
        <f t="shared" si="5"/>
        <v>0.26716827733375492</v>
      </c>
      <c r="F38" s="24">
        <f t="shared" si="6"/>
        <v>0.37517247455378355</v>
      </c>
      <c r="G38" s="24">
        <f t="shared" si="9"/>
        <v>0.25295719875217226</v>
      </c>
      <c r="H38" s="24">
        <f t="shared" si="7"/>
        <v>2.361392068259895E-2</v>
      </c>
      <c r="I38" s="24">
        <f t="shared" si="8"/>
        <v>1.2831935897947858E-2</v>
      </c>
      <c r="J38" s="26">
        <f t="shared" si="1"/>
        <v>1.2647859937608613E-2</v>
      </c>
      <c r="K38" s="136">
        <f t="shared" si="2"/>
        <v>0.30205091527032768</v>
      </c>
      <c r="L38" s="138">
        <f t="shared" si="3"/>
        <v>0.12445913881649462</v>
      </c>
    </row>
    <row r="39" spans="2:14" x14ac:dyDescent="0.25">
      <c r="B39" s="233"/>
      <c r="C39" s="23">
        <v>2040</v>
      </c>
      <c r="D39" s="24">
        <f t="shared" si="4"/>
        <v>0.19416596666016459</v>
      </c>
      <c r="E39" s="24">
        <f t="shared" si="5"/>
        <v>0.28079385947777641</v>
      </c>
      <c r="F39" s="24">
        <f t="shared" si="6"/>
        <v>0.39430627075602648</v>
      </c>
      <c r="G39" s="24">
        <f t="shared" si="9"/>
        <v>0.26585801588853303</v>
      </c>
      <c r="H39" s="24">
        <f t="shared" si="7"/>
        <v>2.4133426937616127E-2</v>
      </c>
      <c r="I39" s="24">
        <f t="shared" si="8"/>
        <v>1.311423848770271E-2</v>
      </c>
      <c r="J39" s="26">
        <f t="shared" si="1"/>
        <v>1.3292900794426653E-2</v>
      </c>
      <c r="K39" s="136">
        <f t="shared" si="2"/>
        <v>0.31639858210827854</v>
      </c>
      <c r="L39" s="138">
        <f t="shared" si="3"/>
        <v>0.12570373020465955</v>
      </c>
    </row>
    <row r="40" spans="2:14" x14ac:dyDescent="0.25">
      <c r="B40" s="233"/>
      <c r="C40" s="23">
        <v>2041</v>
      </c>
      <c r="D40" s="24">
        <f t="shared" si="4"/>
        <v>0.20406843095983296</v>
      </c>
      <c r="E40" s="24">
        <f t="shared" si="5"/>
        <v>0.29511434631114297</v>
      </c>
      <c r="F40" s="24">
        <f t="shared" si="6"/>
        <v>0.41441589056458378</v>
      </c>
      <c r="G40" s="24">
        <f t="shared" si="9"/>
        <v>0.27941677469884818</v>
      </c>
      <c r="H40" s="24">
        <f t="shared" si="7"/>
        <v>2.4664362330243682E-2</v>
      </c>
      <c r="I40" s="24">
        <f t="shared" si="8"/>
        <v>1.3402751734432171E-2</v>
      </c>
      <c r="J40" s="26">
        <f t="shared" si="1"/>
        <v>1.397083873494241E-2</v>
      </c>
      <c r="K40" s="136">
        <f t="shared" si="2"/>
        <v>0.33145472749846644</v>
      </c>
      <c r="L40" s="138">
        <f t="shared" si="3"/>
        <v>0.12696076750670615</v>
      </c>
    </row>
    <row r="41" spans="2:14" x14ac:dyDescent="0.25">
      <c r="B41" s="233"/>
      <c r="C41" s="23">
        <v>2042</v>
      </c>
      <c r="D41" s="24">
        <f t="shared" si="4"/>
        <v>0.21447592093878443</v>
      </c>
      <c r="E41" s="24">
        <f t="shared" si="5"/>
        <v>0.31016517797301124</v>
      </c>
      <c r="F41" s="24">
        <f t="shared" si="6"/>
        <v>0.43555110098337751</v>
      </c>
      <c r="G41" s="24">
        <f t="shared" si="9"/>
        <v>0.29366703020848939</v>
      </c>
      <c r="H41" s="24">
        <f t="shared" si="7"/>
        <v>2.5206978301509045E-2</v>
      </c>
      <c r="I41" s="24">
        <f t="shared" si="8"/>
        <v>1.3697612272589678E-2</v>
      </c>
      <c r="J41" s="26">
        <f t="shared" si="1"/>
        <v>1.4683351510424471E-2</v>
      </c>
      <c r="K41" s="136">
        <f t="shared" si="2"/>
        <v>0.34725497229301261</v>
      </c>
      <c r="L41" s="138">
        <f t="shared" si="3"/>
        <v>0.12823037518177322</v>
      </c>
    </row>
    <row r="42" spans="2:14" x14ac:dyDescent="0.25">
      <c r="B42" s="233"/>
      <c r="C42" s="23">
        <v>2043</v>
      </c>
      <c r="D42" s="24">
        <f t="shared" si="4"/>
        <v>0.22541419290666243</v>
      </c>
      <c r="E42" s="24">
        <f t="shared" si="5"/>
        <v>0.32598360204963478</v>
      </c>
      <c r="F42" s="24">
        <f t="shared" si="6"/>
        <v>0.45776420713352972</v>
      </c>
      <c r="G42" s="24">
        <f t="shared" si="9"/>
        <v>0.30864404874912232</v>
      </c>
      <c r="H42" s="24">
        <f t="shared" si="7"/>
        <v>2.5761531824142245E-2</v>
      </c>
      <c r="I42" s="24">
        <f t="shared" si="8"/>
        <v>1.399895974258665E-2</v>
      </c>
      <c r="J42" s="26">
        <f t="shared" si="1"/>
        <v>1.5432202437456117E-2</v>
      </c>
      <c r="K42" s="136">
        <f t="shared" si="2"/>
        <v>0.36383674275330735</v>
      </c>
      <c r="L42" s="138">
        <f t="shared" si="3"/>
        <v>0.12951267893359095</v>
      </c>
    </row>
    <row r="43" spans="2:14" x14ac:dyDescent="0.25">
      <c r="B43" s="233"/>
      <c r="C43" s="23">
        <v>2044</v>
      </c>
      <c r="D43" s="24">
        <f t="shared" si="4"/>
        <v>0.23691031674490221</v>
      </c>
      <c r="E43" s="24">
        <f t="shared" si="5"/>
        <v>0.34260876575416616</v>
      </c>
      <c r="F43" s="24">
        <f t="shared" si="6"/>
        <v>0.48111018169733971</v>
      </c>
      <c r="G43" s="24">
        <f t="shared" si="9"/>
        <v>0.3243848952353276</v>
      </c>
      <c r="H43" s="24">
        <f t="shared" si="7"/>
        <v>2.6328285524273375E-2</v>
      </c>
      <c r="I43" s="24">
        <f t="shared" si="8"/>
        <v>1.4306936856923557E-2</v>
      </c>
      <c r="J43" s="26">
        <f t="shared" si="1"/>
        <v>1.621924476176638E-2</v>
      </c>
      <c r="K43" s="136">
        <f t="shared" si="2"/>
        <v>0.38123936237829092</v>
      </c>
      <c r="L43" s="138">
        <f t="shared" si="3"/>
        <v>0.13080780572292686</v>
      </c>
    </row>
    <row r="44" spans="2:14" x14ac:dyDescent="0.25">
      <c r="B44" s="233"/>
      <c r="C44" s="23">
        <v>2045</v>
      </c>
      <c r="D44" s="24">
        <f t="shared" si="4"/>
        <v>0.2489927428988922</v>
      </c>
      <c r="E44" s="24">
        <f t="shared" si="5"/>
        <v>0.36008181280762863</v>
      </c>
      <c r="F44" s="24">
        <f t="shared" si="6"/>
        <v>0.50564680096390402</v>
      </c>
      <c r="G44" s="24">
        <f t="shared" si="9"/>
        <v>0.34092852489232928</v>
      </c>
      <c r="H44" s="24">
        <f t="shared" si="7"/>
        <v>2.690750780580739E-2</v>
      </c>
      <c r="I44" s="24">
        <f t="shared" si="8"/>
        <v>1.4621689467775876E-2</v>
      </c>
      <c r="J44" s="26">
        <f t="shared" si="1"/>
        <v>1.7046426244616466E-2</v>
      </c>
      <c r="K44" s="136">
        <f t="shared" si="2"/>
        <v>0.399504148410529</v>
      </c>
      <c r="L44" s="138">
        <f t="shared" si="3"/>
        <v>0.13211588378015612</v>
      </c>
    </row>
    <row r="45" spans="2:14" x14ac:dyDescent="0.25">
      <c r="B45" s="233"/>
      <c r="C45" s="23">
        <v>2046</v>
      </c>
      <c r="D45" s="24">
        <f t="shared" si="4"/>
        <v>0.26169137278673571</v>
      </c>
      <c r="E45" s="24">
        <f t="shared" si="5"/>
        <v>0.37844598526081769</v>
      </c>
      <c r="F45" s="24">
        <f t="shared" si="6"/>
        <v>0.53143478781306308</v>
      </c>
      <c r="G45" s="24">
        <f t="shared" si="9"/>
        <v>0.35831587966183809</v>
      </c>
      <c r="H45" s="24">
        <f t="shared" si="7"/>
        <v>2.7499472977535154E-2</v>
      </c>
      <c r="I45" s="24">
        <f t="shared" si="8"/>
        <v>1.4943366636066945E-2</v>
      </c>
      <c r="J45" s="26">
        <f t="shared" si="1"/>
        <v>1.7915793983091906E-2</v>
      </c>
      <c r="K45" s="136">
        <f t="shared" si="2"/>
        <v>0.41867451325853211</v>
      </c>
      <c r="L45" s="138">
        <f t="shared" si="3"/>
        <v>0.13343704261795769</v>
      </c>
    </row>
    <row r="46" spans="2:14" x14ac:dyDescent="0.25">
      <c r="B46" s="233"/>
      <c r="C46" s="23">
        <v>2047</v>
      </c>
      <c r="D46" s="24">
        <f t="shared" si="4"/>
        <v>0.27503763279885923</v>
      </c>
      <c r="E46" s="24">
        <f t="shared" si="5"/>
        <v>0.39774673050911935</v>
      </c>
      <c r="F46" s="24">
        <f t="shared" si="6"/>
        <v>0.55853796199152927</v>
      </c>
      <c r="G46" s="24">
        <f t="shared" si="9"/>
        <v>0.37658998952459177</v>
      </c>
      <c r="H46" s="24">
        <f t="shared" si="7"/>
        <v>2.810446138304093E-2</v>
      </c>
      <c r="I46" s="24">
        <f t="shared" si="8"/>
        <v>1.5272120702060419E-2</v>
      </c>
      <c r="J46" s="26">
        <f t="shared" si="1"/>
        <v>1.882949947622959E-2</v>
      </c>
      <c r="K46" s="136">
        <f t="shared" si="2"/>
        <v>0.43879607108592272</v>
      </c>
      <c r="L46" s="138">
        <f t="shared" si="3"/>
        <v>0.13477141304413726</v>
      </c>
    </row>
    <row r="47" spans="2:14" x14ac:dyDescent="0.25">
      <c r="B47" s="233"/>
      <c r="C47" s="23">
        <v>2048</v>
      </c>
      <c r="D47" s="24">
        <f t="shared" si="4"/>
        <v>0.28906455207160103</v>
      </c>
      <c r="E47" s="24">
        <f t="shared" si="5"/>
        <v>0.41803181376508441</v>
      </c>
      <c r="F47" s="24">
        <f t="shared" si="6"/>
        <v>0.58702339805309722</v>
      </c>
      <c r="G47" s="24">
        <f t="shared" si="9"/>
        <v>0.39579607899034591</v>
      </c>
      <c r="H47" s="24">
        <f t="shared" si="7"/>
        <v>2.8722759533467829E-2</v>
      </c>
      <c r="I47" s="24">
        <f t="shared" si="8"/>
        <v>1.5608107357505748E-2</v>
      </c>
      <c r="J47" s="26">
        <f t="shared" si="1"/>
        <v>1.9789803949517296E-2</v>
      </c>
      <c r="K47" s="136">
        <f t="shared" si="2"/>
        <v>0.4599167498308368</v>
      </c>
      <c r="L47" s="138">
        <f t="shared" si="3"/>
        <v>0.13611912717457864</v>
      </c>
    </row>
    <row r="48" spans="2:14" x14ac:dyDescent="0.25">
      <c r="B48" s="233"/>
      <c r="C48" s="23">
        <v>2049</v>
      </c>
      <c r="D48" s="24">
        <f t="shared" si="4"/>
        <v>0.30380684422725268</v>
      </c>
      <c r="E48" s="24">
        <f t="shared" si="5"/>
        <v>0.43935143626710371</v>
      </c>
      <c r="F48" s="24">
        <f t="shared" si="6"/>
        <v>0.61696159135380513</v>
      </c>
      <c r="G48" s="24">
        <f t="shared" si="9"/>
        <v>0.41598167901885358</v>
      </c>
      <c r="H48" s="24">
        <f t="shared" si="7"/>
        <v>2.9354660243204121E-2</v>
      </c>
      <c r="I48" s="24">
        <f t="shared" si="8"/>
        <v>1.5951485719370877E-2</v>
      </c>
      <c r="J48" s="26">
        <f t="shared" si="1"/>
        <v>2.0799083950942682E-2</v>
      </c>
      <c r="K48" s="136">
        <f t="shared" si="2"/>
        <v>0.48208690893237127</v>
      </c>
      <c r="L48" s="138">
        <f t="shared" si="3"/>
        <v>0.13748031844632441</v>
      </c>
    </row>
    <row r="49" spans="2:12" x14ac:dyDescent="0.25">
      <c r="B49" s="233"/>
      <c r="C49" s="23">
        <v>2050</v>
      </c>
      <c r="D49" s="24">
        <f t="shared" si="4"/>
        <v>0.31930099328284256</v>
      </c>
      <c r="E49" s="24">
        <f t="shared" si="5"/>
        <v>0.46175835951672595</v>
      </c>
      <c r="F49" s="24">
        <f t="shared" si="6"/>
        <v>0.64842663251284915</v>
      </c>
      <c r="G49" s="24">
        <f t="shared" si="9"/>
        <v>0.43719674464881503</v>
      </c>
      <c r="H49" s="24">
        <f t="shared" si="7"/>
        <v>3.0000462768554611E-2</v>
      </c>
      <c r="I49" s="24">
        <f t="shared" si="8"/>
        <v>1.6302418405197035E-2</v>
      </c>
      <c r="J49" s="26">
        <f t="shared" si="1"/>
        <v>2.1859837232440754E-2</v>
      </c>
      <c r="K49" s="136">
        <f t="shared" si="2"/>
        <v>0.50535946305500745</v>
      </c>
      <c r="L49" s="138">
        <f t="shared" si="3"/>
        <v>0.13885512163078767</v>
      </c>
    </row>
    <row r="50" spans="2:12" x14ac:dyDescent="0.25">
      <c r="B50" s="233"/>
      <c r="C50" s="23">
        <v>2051</v>
      </c>
      <c r="D50" s="24">
        <f t="shared" si="4"/>
        <v>0.33558534394026751</v>
      </c>
      <c r="E50" s="24">
        <f t="shared" si="5"/>
        <v>0.48530803585207893</v>
      </c>
      <c r="F50" s="24">
        <f t="shared" si="6"/>
        <v>0.68149639077100443</v>
      </c>
      <c r="G50" s="24">
        <f t="shared" si="9"/>
        <v>0.45949377862590457</v>
      </c>
      <c r="H50" s="24">
        <f t="shared" si="7"/>
        <v>3.0660472949462812E-2</v>
      </c>
      <c r="I50" s="24">
        <f t="shared" si="8"/>
        <v>1.6661071610111371E-2</v>
      </c>
      <c r="J50" s="26">
        <f t="shared" si="1"/>
        <v>2.2974688931295228E-2</v>
      </c>
      <c r="K50" s="136">
        <f t="shared" si="2"/>
        <v>0.52979001211677401</v>
      </c>
      <c r="L50" s="138">
        <f t="shared" si="3"/>
        <v>0.14024367284709555</v>
      </c>
    </row>
    <row r="51" spans="2:12" x14ac:dyDescent="0.25">
      <c r="B51" s="233"/>
      <c r="C51" s="23">
        <v>2052</v>
      </c>
      <c r="D51" s="24">
        <f t="shared" si="4"/>
        <v>0.35270019648122114</v>
      </c>
      <c r="E51" s="24">
        <f t="shared" si="5"/>
        <v>0.51005874568053489</v>
      </c>
      <c r="F51" s="24">
        <f t="shared" si="6"/>
        <v>0.71625270670032559</v>
      </c>
      <c r="G51" s="24">
        <f t="shared" si="9"/>
        <v>0.48292796133582572</v>
      </c>
      <c r="H51" s="24">
        <f t="shared" si="7"/>
        <v>3.1335003354350993E-2</v>
      </c>
      <c r="I51" s="24">
        <f t="shared" si="8"/>
        <v>1.702761518553382E-2</v>
      </c>
      <c r="J51" s="26">
        <f t="shared" si="1"/>
        <v>2.4146398066791287E-2</v>
      </c>
      <c r="K51" s="136">
        <f t="shared" si="2"/>
        <v>0.5554369779425018</v>
      </c>
      <c r="L51" s="138">
        <f t="shared" si="3"/>
        <v>0.1416461095755665</v>
      </c>
    </row>
    <row r="52" spans="2:12" x14ac:dyDescent="0.25">
      <c r="B52" s="233"/>
      <c r="C52" s="23">
        <v>2053</v>
      </c>
      <c r="D52" s="24">
        <f t="shared" si="4"/>
        <v>0.37068790650176342</v>
      </c>
      <c r="E52" s="24">
        <f t="shared" si="5"/>
        <v>0.53607174171024208</v>
      </c>
      <c r="F52" s="24">
        <f t="shared" si="6"/>
        <v>0.7527815947420422</v>
      </c>
      <c r="G52" s="24">
        <f t="shared" si="9"/>
        <v>0.50755728736395278</v>
      </c>
      <c r="H52" s="24">
        <f t="shared" si="7"/>
        <v>3.2024373428146714E-2</v>
      </c>
      <c r="I52" s="24">
        <f t="shared" si="8"/>
        <v>1.7402222719615563E-2</v>
      </c>
      <c r="J52" s="26">
        <f t="shared" si="1"/>
        <v>2.5377864368197639E-2</v>
      </c>
      <c r="K52" s="136">
        <f t="shared" si="2"/>
        <v>0.58236174787991268</v>
      </c>
      <c r="L52" s="138">
        <f t="shared" si="3"/>
        <v>0.14306257067132216</v>
      </c>
    </row>
    <row r="53" spans="2:12" x14ac:dyDescent="0.25">
      <c r="B53" s="233"/>
      <c r="C53" s="23">
        <v>2054</v>
      </c>
      <c r="D53" s="24">
        <f t="shared" si="4"/>
        <v>0.38959298973335332</v>
      </c>
      <c r="E53" s="24">
        <f t="shared" si="5"/>
        <v>0.56341140053746441</v>
      </c>
      <c r="F53" s="24">
        <f t="shared" si="6"/>
        <v>0.79117345607388634</v>
      </c>
      <c r="G53" s="24">
        <f t="shared" si="9"/>
        <v>0.5334427090195144</v>
      </c>
      <c r="H53" s="24">
        <f t="shared" si="7"/>
        <v>3.2728909643565944E-2</v>
      </c>
      <c r="I53" s="24">
        <f t="shared" si="8"/>
        <v>1.7785071619447108E-2</v>
      </c>
      <c r="J53" s="26">
        <f t="shared" si="1"/>
        <v>2.6672135450975722E-2</v>
      </c>
      <c r="K53" s="136">
        <f t="shared" si="2"/>
        <v>0.61062882573350319</v>
      </c>
      <c r="L53" s="138">
        <f t="shared" si="3"/>
        <v>0.1444931963780354</v>
      </c>
    </row>
    <row r="54" spans="2:12" x14ac:dyDescent="0.25">
      <c r="B54" s="233"/>
      <c r="C54" s="23">
        <v>2055</v>
      </c>
      <c r="D54" s="24">
        <f t="shared" si="4"/>
        <v>0.40946223220975431</v>
      </c>
      <c r="E54" s="24">
        <f t="shared" si="5"/>
        <v>0.59214538196487509</v>
      </c>
      <c r="F54" s="24">
        <f t="shared" si="6"/>
        <v>0.83152330233365446</v>
      </c>
      <c r="G54" s="24">
        <f t="shared" si="9"/>
        <v>0.56064828717950954</v>
      </c>
      <c r="H54" s="24">
        <f t="shared" si="7"/>
        <v>3.3448945655724392E-2</v>
      </c>
      <c r="I54" s="24">
        <f t="shared" si="8"/>
        <v>1.8176343195074943E-2</v>
      </c>
      <c r="J54" s="26">
        <f t="shared" si="1"/>
        <v>2.803241435897548E-2</v>
      </c>
      <c r="K54" s="136">
        <f t="shared" si="2"/>
        <v>0.64030599038928437</v>
      </c>
      <c r="L54" s="138">
        <f t="shared" si="3"/>
        <v>0.14593812834181574</v>
      </c>
    </row>
    <row r="55" spans="2:12" x14ac:dyDescent="0.25">
      <c r="B55" s="233"/>
      <c r="C55" s="23">
        <v>2056</v>
      </c>
      <c r="D55" s="24">
        <f t="shared" si="4"/>
        <v>0.43034480605245173</v>
      </c>
      <c r="E55" s="24">
        <f t="shared" si="5"/>
        <v>0.62234479644508367</v>
      </c>
      <c r="F55" s="24">
        <f t="shared" si="6"/>
        <v>0.87393099075267078</v>
      </c>
      <c r="G55" s="24">
        <f t="shared" si="9"/>
        <v>0.58924134982566445</v>
      </c>
      <c r="H55" s="24">
        <f t="shared" si="7"/>
        <v>3.4184822460150331E-2</v>
      </c>
      <c r="I55" s="24">
        <f t="shared" si="8"/>
        <v>1.8576222745366591E-2</v>
      </c>
      <c r="J55" s="26">
        <f t="shared" si="1"/>
        <v>2.9462067491283224E-2</v>
      </c>
      <c r="K55" s="136">
        <f t="shared" si="2"/>
        <v>0.67146446252246461</v>
      </c>
      <c r="L55" s="138">
        <f t="shared" si="3"/>
        <v>0.1473975096252339</v>
      </c>
    </row>
    <row r="56" spans="2:12" x14ac:dyDescent="0.25">
      <c r="B56" s="233"/>
      <c r="C56" s="23">
        <v>2057</v>
      </c>
      <c r="D56" s="24">
        <f t="shared" si="4"/>
        <v>0.45229239116112674</v>
      </c>
      <c r="E56" s="24">
        <f t="shared" si="5"/>
        <v>0.65408438106378286</v>
      </c>
      <c r="F56" s="24">
        <f t="shared" si="6"/>
        <v>0.91850147128105697</v>
      </c>
      <c r="G56" s="24">
        <f t="shared" si="9"/>
        <v>0.6192926586667733</v>
      </c>
      <c r="H56" s="24">
        <f t="shared" si="7"/>
        <v>3.493688855427364E-2</v>
      </c>
      <c r="I56" s="24">
        <f t="shared" si="8"/>
        <v>1.8984899645764657E-2</v>
      </c>
      <c r="J56" s="26">
        <f t="shared" si="1"/>
        <v>3.0964632933338666E-2</v>
      </c>
      <c r="K56" s="136">
        <f t="shared" si="2"/>
        <v>0.70417907980015026</v>
      </c>
      <c r="L56" s="138">
        <f t="shared" si="3"/>
        <v>0.14887148472148623</v>
      </c>
    </row>
    <row r="57" spans="2:12" x14ac:dyDescent="0.25">
      <c r="B57" s="233"/>
      <c r="C57" s="39">
        <v>2058</v>
      </c>
      <c r="D57" s="40">
        <f t="shared" si="4"/>
        <v>0.47535930311034419</v>
      </c>
      <c r="E57" s="40">
        <f t="shared" si="5"/>
        <v>0.68744268449803569</v>
      </c>
      <c r="F57" s="40">
        <f t="shared" si="6"/>
        <v>0.96534504631639084</v>
      </c>
      <c r="G57" s="40">
        <f t="shared" si="9"/>
        <v>0.6508765842587787</v>
      </c>
      <c r="H57" s="40">
        <f t="shared" si="7"/>
        <v>3.570550010246766E-2</v>
      </c>
      <c r="I57" s="40">
        <f t="shared" si="8"/>
        <v>1.9402567437971481E-2</v>
      </c>
      <c r="J57" s="41">
        <f t="shared" si="1"/>
        <v>3.2543829212938934E-2</v>
      </c>
      <c r="K57" s="137">
        <f t="shared" si="2"/>
        <v>0.73852848101215673</v>
      </c>
      <c r="L57" s="138">
        <f t="shared" si="3"/>
        <v>0.15036019956870109</v>
      </c>
    </row>
    <row r="58" spans="2:12" x14ac:dyDescent="0.25">
      <c r="J58" s="2"/>
      <c r="K58" s="2"/>
      <c r="L58" s="2"/>
    </row>
  </sheetData>
  <mergeCells count="9">
    <mergeCell ref="N2:O2"/>
    <mergeCell ref="N7:O7"/>
    <mergeCell ref="N12:P12"/>
    <mergeCell ref="B5:B17"/>
    <mergeCell ref="B18:B57"/>
    <mergeCell ref="C3:C4"/>
    <mergeCell ref="H5:K16"/>
    <mergeCell ref="C2:K2"/>
    <mergeCell ref="L5:L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F31-7206-4C52-9C34-6EEB42831ABB}">
  <sheetPr>
    <tabColor theme="9"/>
  </sheetPr>
  <dimension ref="B2:N22"/>
  <sheetViews>
    <sheetView showGridLines="0" zoomScale="115" zoomScaleNormal="115" workbookViewId="0">
      <selection activeCell="S4" sqref="S4"/>
    </sheetView>
  </sheetViews>
  <sheetFormatPr defaultColWidth="8.85546875" defaultRowHeight="15" x14ac:dyDescent="0.25"/>
  <cols>
    <col min="4" max="4" width="10.42578125" bestFit="1" customWidth="1"/>
    <col min="8" max="8" width="9.85546875" customWidth="1"/>
  </cols>
  <sheetData>
    <row r="2" spans="2:9" x14ac:dyDescent="0.25">
      <c r="B2" s="31" t="s">
        <v>101</v>
      </c>
      <c r="C2" s="35">
        <v>0.503</v>
      </c>
      <c r="D2" s="36" t="s">
        <v>98</v>
      </c>
    </row>
    <row r="3" spans="2:9" x14ac:dyDescent="0.25">
      <c r="B3" s="28" t="s">
        <v>99</v>
      </c>
      <c r="C3" s="45">
        <v>0.25</v>
      </c>
      <c r="D3" s="46" t="s">
        <v>98</v>
      </c>
    </row>
    <row r="4" spans="2:9" x14ac:dyDescent="0.25">
      <c r="B4" s="21" t="s">
        <v>100</v>
      </c>
      <c r="C4" s="37">
        <v>0.247</v>
      </c>
      <c r="D4" s="38" t="s">
        <v>98</v>
      </c>
    </row>
    <row r="6" spans="2:9" ht="32.1" customHeight="1" x14ac:dyDescent="0.25">
      <c r="B6" s="247" t="s">
        <v>94</v>
      </c>
      <c r="C6" s="16" t="s">
        <v>95</v>
      </c>
      <c r="D6" s="16" t="s">
        <v>97</v>
      </c>
      <c r="E6" s="16" t="s">
        <v>99</v>
      </c>
      <c r="F6" s="16" t="s">
        <v>100</v>
      </c>
      <c r="G6" s="57" t="s">
        <v>149</v>
      </c>
      <c r="H6" s="249" t="s">
        <v>241</v>
      </c>
      <c r="I6" s="57" t="s">
        <v>238</v>
      </c>
    </row>
    <row r="7" spans="2:9" x14ac:dyDescent="0.25">
      <c r="B7" s="248"/>
      <c r="C7" s="142" t="s">
        <v>96</v>
      </c>
      <c r="D7" s="142" t="s">
        <v>96</v>
      </c>
      <c r="E7" s="142" t="s">
        <v>96</v>
      </c>
      <c r="F7" s="142" t="s">
        <v>96</v>
      </c>
      <c r="G7" s="141" t="s">
        <v>96</v>
      </c>
      <c r="H7" s="250"/>
      <c r="I7" s="141" t="s">
        <v>96</v>
      </c>
    </row>
    <row r="8" spans="2:9" x14ac:dyDescent="0.25">
      <c r="B8" s="54">
        <v>1</v>
      </c>
      <c r="C8" s="145">
        <v>219.15</v>
      </c>
      <c r="D8" s="146">
        <f>C8*$C$2</f>
        <v>110.23245</v>
      </c>
      <c r="E8" s="146">
        <f>C8*$C$3</f>
        <v>54.787500000000001</v>
      </c>
      <c r="F8" s="146">
        <f>C8*$C$4</f>
        <v>54.130050000000004</v>
      </c>
      <c r="G8" s="146">
        <f t="shared" ref="G8:G19" si="0">D8*$D$20+E8*$E$20+F8*$F$20</f>
        <v>134.62384499999999</v>
      </c>
      <c r="H8" s="140">
        <v>0.25294818601015401</v>
      </c>
      <c r="I8" s="147">
        <f>H8*G8</f>
        <v>34.052857386462136</v>
      </c>
    </row>
    <row r="9" spans="2:9" x14ac:dyDescent="0.25">
      <c r="B9" s="23">
        <v>2</v>
      </c>
      <c r="C9" s="47">
        <v>238.72</v>
      </c>
      <c r="D9" s="48">
        <f t="shared" ref="D9:D19" si="1">C9*$C$2</f>
        <v>120.07616</v>
      </c>
      <c r="E9" s="48">
        <f t="shared" ref="E9:E19" si="2">C9*$C$3</f>
        <v>59.68</v>
      </c>
      <c r="F9" s="48">
        <f t="shared" ref="F9:F19" si="3">C9*$C$4</f>
        <v>58.963839999999998</v>
      </c>
      <c r="G9" s="48">
        <f t="shared" si="0"/>
        <v>146.64569599999999</v>
      </c>
      <c r="H9" s="70">
        <v>0.351299423149111</v>
      </c>
      <c r="I9" s="148">
        <f t="shared" ref="I9:I19" si="4">H9*G9</f>
        <v>51.516548412099887</v>
      </c>
    </row>
    <row r="10" spans="2:9" x14ac:dyDescent="0.25">
      <c r="B10" s="23">
        <v>3</v>
      </c>
      <c r="C10" s="47">
        <v>292.2</v>
      </c>
      <c r="D10" s="48">
        <f t="shared" si="1"/>
        <v>146.97659999999999</v>
      </c>
      <c r="E10" s="48">
        <f t="shared" si="2"/>
        <v>73.05</v>
      </c>
      <c r="F10" s="48">
        <f t="shared" si="3"/>
        <v>72.173400000000001</v>
      </c>
      <c r="G10" s="48">
        <f t="shared" si="0"/>
        <v>179.49845999999999</v>
      </c>
      <c r="H10" s="70">
        <v>0.521648762861042</v>
      </c>
      <c r="I10" s="148">
        <f t="shared" si="4"/>
        <v>93.635149594462234</v>
      </c>
    </row>
    <row r="11" spans="2:9" x14ac:dyDescent="0.25">
      <c r="B11" s="23">
        <v>4</v>
      </c>
      <c r="C11" s="47">
        <v>365.25</v>
      </c>
      <c r="D11" s="48">
        <f t="shared" si="1"/>
        <v>183.72075000000001</v>
      </c>
      <c r="E11" s="48">
        <f t="shared" si="2"/>
        <v>91.3125</v>
      </c>
      <c r="F11" s="48">
        <f t="shared" si="3"/>
        <v>90.216750000000005</v>
      </c>
      <c r="G11" s="48">
        <f t="shared" si="0"/>
        <v>224.37307500000003</v>
      </c>
      <c r="H11" s="70">
        <v>0.71835123713895699</v>
      </c>
      <c r="I11" s="148">
        <f t="shared" si="4"/>
        <v>161.17867600692199</v>
      </c>
    </row>
    <row r="12" spans="2:9" x14ac:dyDescent="0.25">
      <c r="B12" s="23">
        <v>5</v>
      </c>
      <c r="C12" s="47">
        <v>438.3</v>
      </c>
      <c r="D12" s="48">
        <f t="shared" si="1"/>
        <v>220.4649</v>
      </c>
      <c r="E12" s="48">
        <f t="shared" si="2"/>
        <v>109.575</v>
      </c>
      <c r="F12" s="48">
        <f t="shared" si="3"/>
        <v>108.26010000000001</v>
      </c>
      <c r="G12" s="48">
        <f t="shared" si="0"/>
        <v>269.24768999999998</v>
      </c>
      <c r="H12" s="70">
        <v>0.88870057685088799</v>
      </c>
      <c r="I12" s="148">
        <f t="shared" si="4"/>
        <v>239.28057741876904</v>
      </c>
    </row>
    <row r="13" spans="2:9" x14ac:dyDescent="0.25">
      <c r="B13" s="23">
        <v>6</v>
      </c>
      <c r="C13" s="47">
        <v>491.78</v>
      </c>
      <c r="D13" s="48">
        <f t="shared" si="1"/>
        <v>247.36533999999997</v>
      </c>
      <c r="E13" s="48">
        <f t="shared" si="2"/>
        <v>122.94499999999999</v>
      </c>
      <c r="F13" s="48">
        <f t="shared" si="3"/>
        <v>121.46965999999999</v>
      </c>
      <c r="G13" s="48">
        <f t="shared" si="0"/>
        <v>302.10045399999996</v>
      </c>
      <c r="H13" s="70">
        <v>0.98705181398984498</v>
      </c>
      <c r="I13" s="148">
        <f t="shared" si="4"/>
        <v>298.1888011278557</v>
      </c>
    </row>
    <row r="14" spans="2:9" x14ac:dyDescent="0.25">
      <c r="B14" s="23">
        <v>7</v>
      </c>
      <c r="C14" s="47">
        <v>511.35</v>
      </c>
      <c r="D14" s="48">
        <f t="shared" si="1"/>
        <v>257.20904999999999</v>
      </c>
      <c r="E14" s="48">
        <f t="shared" si="2"/>
        <v>127.83750000000001</v>
      </c>
      <c r="F14" s="48">
        <f t="shared" si="3"/>
        <v>126.30345</v>
      </c>
      <c r="G14" s="48">
        <f t="shared" si="0"/>
        <v>314.12230499999998</v>
      </c>
      <c r="H14" s="70">
        <v>0.98705181398984598</v>
      </c>
      <c r="I14" s="148">
        <f t="shared" si="4"/>
        <v>310.05499096492167</v>
      </c>
    </row>
    <row r="15" spans="2:9" x14ac:dyDescent="0.25">
      <c r="B15" s="23">
        <v>8</v>
      </c>
      <c r="C15" s="47">
        <v>491.78</v>
      </c>
      <c r="D15" s="48">
        <f t="shared" si="1"/>
        <v>247.36533999999997</v>
      </c>
      <c r="E15" s="48">
        <f t="shared" si="2"/>
        <v>122.94499999999999</v>
      </c>
      <c r="F15" s="48">
        <f t="shared" si="3"/>
        <v>121.46965999999999</v>
      </c>
      <c r="G15" s="48">
        <f t="shared" si="0"/>
        <v>302.10045399999996</v>
      </c>
      <c r="H15" s="70">
        <v>0.88870057685088799</v>
      </c>
      <c r="I15" s="148">
        <f t="shared" si="4"/>
        <v>268.47684773671511</v>
      </c>
    </row>
    <row r="16" spans="2:9" x14ac:dyDescent="0.25">
      <c r="B16" s="23">
        <v>9</v>
      </c>
      <c r="C16" s="47">
        <v>438.3</v>
      </c>
      <c r="D16" s="48">
        <f t="shared" si="1"/>
        <v>220.4649</v>
      </c>
      <c r="E16" s="48">
        <f t="shared" si="2"/>
        <v>109.575</v>
      </c>
      <c r="F16" s="48">
        <f t="shared" si="3"/>
        <v>108.26010000000001</v>
      </c>
      <c r="G16" s="48">
        <f t="shared" si="0"/>
        <v>269.24768999999998</v>
      </c>
      <c r="H16" s="70">
        <v>0.71835123713895699</v>
      </c>
      <c r="I16" s="148">
        <f t="shared" si="4"/>
        <v>193.41441120830638</v>
      </c>
    </row>
    <row r="17" spans="2:14" x14ac:dyDescent="0.25">
      <c r="B17" s="23">
        <v>10</v>
      </c>
      <c r="C17" s="47">
        <v>365.25</v>
      </c>
      <c r="D17" s="48">
        <f t="shared" si="1"/>
        <v>183.72075000000001</v>
      </c>
      <c r="E17" s="48">
        <f t="shared" si="2"/>
        <v>91.3125</v>
      </c>
      <c r="F17" s="48">
        <f t="shared" si="3"/>
        <v>90.216750000000005</v>
      </c>
      <c r="G17" s="48">
        <f t="shared" si="0"/>
        <v>224.37307500000003</v>
      </c>
      <c r="H17" s="70">
        <v>0.521648762861042</v>
      </c>
      <c r="I17" s="148">
        <f t="shared" si="4"/>
        <v>117.04393699307781</v>
      </c>
    </row>
    <row r="18" spans="2:14" x14ac:dyDescent="0.25">
      <c r="B18" s="23">
        <v>11</v>
      </c>
      <c r="C18" s="47">
        <v>292.2</v>
      </c>
      <c r="D18" s="48">
        <f t="shared" si="1"/>
        <v>146.97659999999999</v>
      </c>
      <c r="E18" s="48">
        <f t="shared" si="2"/>
        <v>73.05</v>
      </c>
      <c r="F18" s="48">
        <f t="shared" si="3"/>
        <v>72.173400000000001</v>
      </c>
      <c r="G18" s="48">
        <f t="shared" si="0"/>
        <v>179.49845999999999</v>
      </c>
      <c r="H18" s="70">
        <v>0.351299423149111</v>
      </c>
      <c r="I18" s="148">
        <f t="shared" si="4"/>
        <v>63.057705454153776</v>
      </c>
    </row>
    <row r="19" spans="2:14" x14ac:dyDescent="0.25">
      <c r="B19" s="50">
        <v>12</v>
      </c>
      <c r="C19" s="15">
        <v>238.72</v>
      </c>
      <c r="D19" s="14">
        <f t="shared" si="1"/>
        <v>120.07616</v>
      </c>
      <c r="E19" s="14">
        <f t="shared" si="2"/>
        <v>59.68</v>
      </c>
      <c r="F19" s="14">
        <f t="shared" si="3"/>
        <v>58.963839999999998</v>
      </c>
      <c r="G19" s="14">
        <f t="shared" si="0"/>
        <v>146.64569599999999</v>
      </c>
      <c r="H19" s="64">
        <v>0.25294818601015401</v>
      </c>
      <c r="I19" s="149">
        <f t="shared" si="4"/>
        <v>37.093762789396493</v>
      </c>
    </row>
    <row r="20" spans="2:14" x14ac:dyDescent="0.25">
      <c r="B20" s="245" t="s">
        <v>102</v>
      </c>
      <c r="C20" s="246"/>
      <c r="D20" s="143">
        <v>0.85</v>
      </c>
      <c r="E20" s="144">
        <v>0.5</v>
      </c>
      <c r="F20" s="144">
        <v>0.25</v>
      </c>
      <c r="G20" s="13"/>
    </row>
    <row r="21" spans="2:14" x14ac:dyDescent="0.25">
      <c r="C21" s="13"/>
      <c r="D21" s="13"/>
      <c r="L21" t="s">
        <v>239</v>
      </c>
      <c r="M21" t="s">
        <v>240</v>
      </c>
      <c r="N21" t="s">
        <v>242</v>
      </c>
    </row>
    <row r="22" spans="2:14" x14ac:dyDescent="0.25">
      <c r="L22">
        <f>MIN(G8:G19)/MAX(G8:G19)</f>
        <v>0.42857142857142855</v>
      </c>
      <c r="M22">
        <v>0.114</v>
      </c>
      <c r="N22">
        <f>MIN(I8:I19)/MAX(I8:I19)</f>
        <v>0.10982844456232196</v>
      </c>
    </row>
  </sheetData>
  <mergeCells count="3">
    <mergeCell ref="B20:C20"/>
    <mergeCell ref="B6:B7"/>
    <mergeCell ref="H6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F95-A67A-4914-BF6F-EF3820854B3C}">
  <sheetPr>
    <tabColor theme="9"/>
  </sheetPr>
  <dimension ref="B2:E21"/>
  <sheetViews>
    <sheetView showGridLines="0" zoomScale="135" zoomScaleNormal="135" workbookViewId="0">
      <selection activeCell="O6" sqref="O6"/>
    </sheetView>
  </sheetViews>
  <sheetFormatPr defaultColWidth="8.85546875" defaultRowHeight="15" x14ac:dyDescent="0.25"/>
  <cols>
    <col min="2" max="2" width="15.42578125" customWidth="1"/>
    <col min="3" max="3" width="8.42578125" bestFit="1" customWidth="1"/>
    <col min="4" max="4" width="9.42578125" bestFit="1" customWidth="1"/>
  </cols>
  <sheetData>
    <row r="2" spans="2:4" x14ac:dyDescent="0.25">
      <c r="B2" s="31" t="s">
        <v>107</v>
      </c>
      <c r="C2" s="52">
        <v>8300</v>
      </c>
      <c r="D2" s="36" t="s">
        <v>108</v>
      </c>
    </row>
    <row r="3" spans="2:4" x14ac:dyDescent="0.25">
      <c r="B3" s="28" t="s">
        <v>106</v>
      </c>
      <c r="C3" s="53">
        <v>0.1</v>
      </c>
      <c r="D3" s="46"/>
    </row>
    <row r="4" spans="2:4" x14ac:dyDescent="0.25">
      <c r="B4" s="28" t="s">
        <v>109</v>
      </c>
      <c r="C4" s="48">
        <f>$C$2/12*C3</f>
        <v>69.166666666666671</v>
      </c>
      <c r="D4" s="46" t="s">
        <v>108</v>
      </c>
    </row>
    <row r="5" spans="2:4" x14ac:dyDescent="0.25">
      <c r="B5" s="21" t="s">
        <v>110</v>
      </c>
      <c r="C5" s="14">
        <v>691.67</v>
      </c>
      <c r="D5" s="38" t="s">
        <v>108</v>
      </c>
    </row>
    <row r="7" spans="2:4" x14ac:dyDescent="0.25">
      <c r="B7" s="54"/>
      <c r="C7" s="224" t="s">
        <v>103</v>
      </c>
      <c r="D7" s="225"/>
    </row>
    <row r="8" spans="2:4" x14ac:dyDescent="0.25">
      <c r="B8" s="21" t="s">
        <v>94</v>
      </c>
      <c r="C8" s="10" t="s">
        <v>104</v>
      </c>
      <c r="D8" s="55" t="s">
        <v>105</v>
      </c>
    </row>
    <row r="9" spans="2:4" x14ac:dyDescent="0.25">
      <c r="B9" s="23">
        <v>1</v>
      </c>
      <c r="C9" s="48">
        <f>$C$2/12</f>
        <v>691.66666666666663</v>
      </c>
      <c r="D9" s="49">
        <f>$C$4*COS(B9*PI()/6)+$C$5</f>
        <v>751.57009042842367</v>
      </c>
    </row>
    <row r="10" spans="2:4" x14ac:dyDescent="0.25">
      <c r="B10" s="23">
        <v>2</v>
      </c>
      <c r="C10" s="48">
        <f t="shared" ref="C10:C20" si="0">$C$2/12</f>
        <v>691.66666666666663</v>
      </c>
      <c r="D10" s="49">
        <f t="shared" ref="D10:D20" si="1">$C$4*COS(B10*PI()/6)+$C$5</f>
        <v>726.25333333333333</v>
      </c>
    </row>
    <row r="11" spans="2:4" x14ac:dyDescent="0.25">
      <c r="B11" s="23">
        <v>3</v>
      </c>
      <c r="C11" s="48">
        <f t="shared" si="0"/>
        <v>691.66666666666663</v>
      </c>
      <c r="D11" s="49">
        <f t="shared" si="1"/>
        <v>691.67</v>
      </c>
    </row>
    <row r="12" spans="2:4" x14ac:dyDescent="0.25">
      <c r="B12" s="23">
        <v>4</v>
      </c>
      <c r="C12" s="48">
        <f t="shared" si="0"/>
        <v>691.66666666666663</v>
      </c>
      <c r="D12" s="49">
        <f t="shared" si="1"/>
        <v>657.08666666666659</v>
      </c>
    </row>
    <row r="13" spans="2:4" x14ac:dyDescent="0.25">
      <c r="B13" s="23">
        <v>5</v>
      </c>
      <c r="C13" s="48">
        <f t="shared" si="0"/>
        <v>691.66666666666663</v>
      </c>
      <c r="D13" s="49">
        <f t="shared" si="1"/>
        <v>631.76990957157625</v>
      </c>
    </row>
    <row r="14" spans="2:4" x14ac:dyDescent="0.25">
      <c r="B14" s="23">
        <v>6</v>
      </c>
      <c r="C14" s="48">
        <f t="shared" si="0"/>
        <v>691.66666666666663</v>
      </c>
      <c r="D14" s="49">
        <f t="shared" si="1"/>
        <v>622.50333333333333</v>
      </c>
    </row>
    <row r="15" spans="2:4" x14ac:dyDescent="0.25">
      <c r="B15" s="23">
        <v>7</v>
      </c>
      <c r="C15" s="48">
        <f t="shared" si="0"/>
        <v>691.66666666666663</v>
      </c>
      <c r="D15" s="49">
        <f t="shared" si="1"/>
        <v>631.76990957157625</v>
      </c>
    </row>
    <row r="16" spans="2:4" x14ac:dyDescent="0.25">
      <c r="B16" s="23">
        <v>8</v>
      </c>
      <c r="C16" s="48">
        <f t="shared" si="0"/>
        <v>691.66666666666663</v>
      </c>
      <c r="D16" s="49">
        <f t="shared" si="1"/>
        <v>657.08666666666659</v>
      </c>
    </row>
    <row r="17" spans="2:5" x14ac:dyDescent="0.25">
      <c r="B17" s="23">
        <v>9</v>
      </c>
      <c r="C17" s="48">
        <f t="shared" si="0"/>
        <v>691.66666666666663</v>
      </c>
      <c r="D17" s="49">
        <f t="shared" si="1"/>
        <v>691.67</v>
      </c>
    </row>
    <row r="18" spans="2:5" x14ac:dyDescent="0.25">
      <c r="B18" s="23">
        <v>10</v>
      </c>
      <c r="C18" s="48">
        <f t="shared" si="0"/>
        <v>691.66666666666663</v>
      </c>
      <c r="D18" s="49">
        <f t="shared" si="1"/>
        <v>726.25333333333333</v>
      </c>
    </row>
    <row r="19" spans="2:5" x14ac:dyDescent="0.25">
      <c r="B19" s="23">
        <v>11</v>
      </c>
      <c r="C19" s="48">
        <f t="shared" si="0"/>
        <v>691.66666666666663</v>
      </c>
      <c r="D19" s="49">
        <f t="shared" si="1"/>
        <v>751.57009042842367</v>
      </c>
    </row>
    <row r="20" spans="2:5" x14ac:dyDescent="0.25">
      <c r="B20" s="50">
        <v>12</v>
      </c>
      <c r="C20" s="14">
        <f t="shared" si="0"/>
        <v>691.66666666666663</v>
      </c>
      <c r="D20" s="51">
        <f t="shared" si="1"/>
        <v>760.83666666666659</v>
      </c>
    </row>
    <row r="21" spans="2:5" x14ac:dyDescent="0.25">
      <c r="B21" s="21" t="s">
        <v>111</v>
      </c>
      <c r="C21" s="14">
        <f>SUM(C9:C20)</f>
        <v>8300.0000000000018</v>
      </c>
      <c r="D21" s="51">
        <f>SUM(D9:D20)</f>
        <v>8300.0400000000009</v>
      </c>
      <c r="E21" t="s">
        <v>108</v>
      </c>
    </row>
  </sheetData>
  <mergeCells count="1">
    <mergeCell ref="C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7B96-2ADC-3042-9646-21FE100CA32C}">
  <sheetPr>
    <tabColor theme="9"/>
  </sheetPr>
  <dimension ref="B2:H8"/>
  <sheetViews>
    <sheetView showGridLines="0" zoomScale="170" zoomScaleNormal="170" workbookViewId="0">
      <selection activeCell="E10" sqref="E10"/>
    </sheetView>
  </sheetViews>
  <sheetFormatPr defaultColWidth="11.42578125" defaultRowHeight="15" x14ac:dyDescent="0.25"/>
  <cols>
    <col min="2" max="2" width="13.7109375" customWidth="1"/>
    <col min="3" max="3" width="7.42578125" customWidth="1"/>
    <col min="6" max="6" width="11.140625" bestFit="1" customWidth="1"/>
    <col min="7" max="7" width="15.7109375" bestFit="1" customWidth="1"/>
    <col min="8" max="8" width="12.140625" bestFit="1" customWidth="1"/>
  </cols>
  <sheetData>
    <row r="2" spans="2:8" ht="23.25" x14ac:dyDescent="0.35">
      <c r="B2" s="60" t="s">
        <v>157</v>
      </c>
    </row>
    <row r="4" spans="2:8" x14ac:dyDescent="0.25">
      <c r="B4" s="286" t="s">
        <v>160</v>
      </c>
      <c r="C4" s="287"/>
      <c r="D4" s="287"/>
      <c r="E4" s="287"/>
      <c r="F4" s="287"/>
      <c r="G4" s="287"/>
      <c r="H4" s="135"/>
    </row>
    <row r="5" spans="2:8" x14ac:dyDescent="0.25">
      <c r="B5" s="23" t="s">
        <v>158</v>
      </c>
      <c r="C5" s="288">
        <v>0.75</v>
      </c>
      <c r="D5" s="56" t="s">
        <v>3</v>
      </c>
      <c r="E5" s="56" t="s">
        <v>167</v>
      </c>
      <c r="F5" s="53">
        <v>0.3</v>
      </c>
      <c r="G5" s="56" t="s">
        <v>168</v>
      </c>
      <c r="H5" s="284">
        <v>10000</v>
      </c>
    </row>
    <row r="6" spans="2:8" x14ac:dyDescent="0.25">
      <c r="B6" s="23" t="s">
        <v>159</v>
      </c>
      <c r="C6" s="288">
        <v>0.15</v>
      </c>
      <c r="D6" s="56" t="s">
        <v>3</v>
      </c>
      <c r="E6" s="56"/>
      <c r="F6" s="24"/>
      <c r="G6" s="56"/>
      <c r="H6" s="46"/>
    </row>
    <row r="7" spans="2:8" x14ac:dyDescent="0.25">
      <c r="B7" s="23"/>
      <c r="C7" s="56"/>
      <c r="D7" s="56"/>
      <c r="E7" s="56"/>
      <c r="F7" s="56"/>
      <c r="G7" s="56"/>
      <c r="H7" s="46"/>
    </row>
    <row r="8" spans="2:8" x14ac:dyDescent="0.25">
      <c r="B8" s="50" t="s">
        <v>161</v>
      </c>
      <c r="C8" s="289">
        <v>0.08</v>
      </c>
      <c r="D8" s="59" t="s">
        <v>81</v>
      </c>
      <c r="E8" s="59"/>
      <c r="F8" s="59"/>
      <c r="G8" s="59"/>
      <c r="H8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sheetPr>
    <tabColor rgb="FF00B050"/>
  </sheetPr>
  <dimension ref="B3:M45"/>
  <sheetViews>
    <sheetView showGridLines="0" zoomScale="115" zoomScaleNormal="115" workbookViewId="0">
      <selection activeCell="J9" sqref="J9"/>
    </sheetView>
  </sheetViews>
  <sheetFormatPr defaultColWidth="8.85546875" defaultRowHeight="15" x14ac:dyDescent="0.25"/>
  <cols>
    <col min="2" max="2" width="5" bestFit="1" customWidth="1"/>
    <col min="3" max="3" width="6.42578125" bestFit="1" customWidth="1"/>
    <col min="4" max="4" width="11" bestFit="1" customWidth="1"/>
    <col min="5" max="5" width="11.28515625" bestFit="1" customWidth="1"/>
    <col min="6" max="7" width="11.42578125" bestFit="1" customWidth="1"/>
    <col min="8" max="9" width="12.28515625" bestFit="1" customWidth="1"/>
    <col min="10" max="10" width="11.140625" bestFit="1" customWidth="1"/>
  </cols>
  <sheetData>
    <row r="3" spans="2:13" x14ac:dyDescent="0.25">
      <c r="B3" s="247" t="s">
        <v>56</v>
      </c>
      <c r="C3" s="166" t="s">
        <v>61</v>
      </c>
      <c r="D3" s="166" t="s">
        <v>92</v>
      </c>
      <c r="E3" s="166" t="s">
        <v>190</v>
      </c>
      <c r="F3" s="1"/>
      <c r="G3" s="85"/>
      <c r="H3" s="85"/>
      <c r="I3" s="57" t="s">
        <v>179</v>
      </c>
      <c r="J3" s="86"/>
      <c r="M3" t="s">
        <v>93</v>
      </c>
    </row>
    <row r="4" spans="2:13" x14ac:dyDescent="0.25">
      <c r="B4" s="247"/>
      <c r="C4" s="166" t="s">
        <v>62</v>
      </c>
      <c r="D4" s="166" t="s">
        <v>59</v>
      </c>
      <c r="E4" s="166" t="s">
        <v>178</v>
      </c>
      <c r="G4" s="57" t="s">
        <v>188</v>
      </c>
      <c r="H4" s="57" t="s">
        <v>59</v>
      </c>
      <c r="I4" s="57" t="s">
        <v>178</v>
      </c>
      <c r="J4" s="83"/>
    </row>
    <row r="5" spans="2:13" x14ac:dyDescent="0.25">
      <c r="B5" s="23">
        <v>0</v>
      </c>
      <c r="C5" s="56">
        <v>0</v>
      </c>
      <c r="D5" s="281">
        <v>0</v>
      </c>
      <c r="E5" s="282">
        <f>D5/(1+Constants!$D$20)^B5</f>
        <v>0</v>
      </c>
      <c r="G5" s="23" t="s">
        <v>64</v>
      </c>
      <c r="H5" s="24">
        <f>NPV(Constants!$D$21,D6:D10)</f>
        <v>5057.565959640091</v>
      </c>
      <c r="I5" s="24">
        <f>NPV(Constants!$D$21,E6:E10)</f>
        <v>4764.8942028574611</v>
      </c>
      <c r="J5" s="46" t="s">
        <v>180</v>
      </c>
    </row>
    <row r="6" spans="2:13" x14ac:dyDescent="0.25">
      <c r="B6" s="23">
        <v>1</v>
      </c>
      <c r="C6" s="283">
        <f>SUM(Consumption!$D$9:$D$20)</f>
        <v>8300.0400000000009</v>
      </c>
      <c r="D6" s="281">
        <f>C6*'Grid Power'!K18</f>
        <v>1010.9502172257601</v>
      </c>
      <c r="E6" s="282">
        <f>D6/(1+Constants!$D$20)^B6</f>
        <v>991.12766394682353</v>
      </c>
      <c r="G6" s="23" t="s">
        <v>65</v>
      </c>
      <c r="H6" s="24">
        <f>NPV(Constants!$D$21,D6:D25)</f>
        <v>22837.989575851912</v>
      </c>
      <c r="I6" s="24">
        <f>NPV(Constants!$D$21,E6:E25)</f>
        <v>18478.410159694031</v>
      </c>
      <c r="J6" s="46" t="s">
        <v>180</v>
      </c>
    </row>
    <row r="7" spans="2:13" x14ac:dyDescent="0.25">
      <c r="B7" s="23">
        <v>2</v>
      </c>
      <c r="C7" s="283">
        <f>SUM(Consumption!$D$9:$D$20)</f>
        <v>8300.0400000000009</v>
      </c>
      <c r="D7" s="281">
        <f>C7*'Grid Power'!K19</f>
        <v>1056.8318151002288</v>
      </c>
      <c r="E7" s="282">
        <f>D7/(1+Constants!$D$20)^B7</f>
        <v>1015.7937476934148</v>
      </c>
      <c r="G7" s="50" t="s">
        <v>66</v>
      </c>
      <c r="H7" s="67">
        <f>NPV(Constants!$D$21,D6:D45)</f>
        <v>54766.122515521602</v>
      </c>
      <c r="I7" s="67">
        <f>NPV(Constants!$D$21,E6:E45)</f>
        <v>35844.190316733766</v>
      </c>
      <c r="J7" s="38" t="s">
        <v>180</v>
      </c>
    </row>
    <row r="8" spans="2:13" x14ac:dyDescent="0.25">
      <c r="B8" s="23">
        <v>3</v>
      </c>
      <c r="C8" s="283">
        <f>SUM(Consumption!$D$9:$D$20)</f>
        <v>8300.0400000000009</v>
      </c>
      <c r="D8" s="281">
        <f>C8*'Grid Power'!K20</f>
        <v>1104.9284834758062</v>
      </c>
      <c r="E8" s="282">
        <f>D8/(1+Constants!$D$20)^B8</f>
        <v>1041.1987880564473</v>
      </c>
    </row>
    <row r="9" spans="2:13" x14ac:dyDescent="0.25">
      <c r="B9" s="23">
        <v>4</v>
      </c>
      <c r="C9" s="283">
        <f>SUM(Consumption!$D$9:$D$20)</f>
        <v>8300.0400000000009</v>
      </c>
      <c r="D9" s="281">
        <f>C9*'Grid Power'!K21</f>
        <v>1155.3504433462585</v>
      </c>
      <c r="E9" s="282">
        <f>D9/(1+Constants!$D$20)^B9</f>
        <v>1067.3652225431463</v>
      </c>
      <c r="G9" s="234" t="s">
        <v>181</v>
      </c>
      <c r="H9" s="234"/>
    </row>
    <row r="10" spans="2:13" x14ac:dyDescent="0.25">
      <c r="B10" s="61">
        <v>5</v>
      </c>
      <c r="C10" s="62">
        <f>SUM(Consumption!$D$9:$D$20)</f>
        <v>8300.0400000000009</v>
      </c>
      <c r="D10" s="63">
        <f>C10*'Grid Power'!K22</f>
        <v>1208.213476528794</v>
      </c>
      <c r="E10" s="66">
        <f>D10/(1+Constants!$D$20)^B10</f>
        <v>1094.3161705438426</v>
      </c>
      <c r="G10" s="166" t="s">
        <v>188</v>
      </c>
      <c r="H10" s="166" t="s">
        <v>178</v>
      </c>
    </row>
    <row r="11" spans="2:13" x14ac:dyDescent="0.25">
      <c r="B11" s="23">
        <v>6</v>
      </c>
      <c r="C11" s="283">
        <f>SUM(Consumption!$D$9:$D$20)</f>
        <v>8300.0400000000009</v>
      </c>
      <c r="D11" s="281">
        <f>C11*'Grid Power'!K23</f>
        <v>1263.6392079362199</v>
      </c>
      <c r="E11" s="282">
        <f>D11/(1+Constants!$D$20)^B11</f>
        <v>1122.07545405579</v>
      </c>
      <c r="G11" s="23" t="s">
        <v>64</v>
      </c>
      <c r="H11" s="284">
        <f>PMT(Constants!$D$21,5,-'Analysis (Nothing)'!I5)</f>
        <v>1040.4364314340303</v>
      </c>
    </row>
    <row r="12" spans="2:13" x14ac:dyDescent="0.25">
      <c r="B12" s="23">
        <v>7</v>
      </c>
      <c r="C12" s="283">
        <f>SUM(Consumption!$D$9:$D$20)</f>
        <v>8300.0400000000009</v>
      </c>
      <c r="D12" s="281">
        <f>C12*'Grid Power'!K24</f>
        <v>1321.7554022157228</v>
      </c>
      <c r="E12" s="282">
        <f>D12/(1+Constants!$D$20)^B12</f>
        <v>1150.6676190368253</v>
      </c>
      <c r="G12" s="23" t="s">
        <v>65</v>
      </c>
      <c r="H12" s="284">
        <f>PMT(Constants!$D$21,20,-'Analysis (Nothing)'!I6)</f>
        <v>1242.0394141488248</v>
      </c>
    </row>
    <row r="13" spans="2:13" x14ac:dyDescent="0.25">
      <c r="B13" s="23">
        <v>8</v>
      </c>
      <c r="C13" s="283">
        <f>SUM(Consumption!$D$9:$D$20)</f>
        <v>8300.0400000000009</v>
      </c>
      <c r="D13" s="281">
        <f>C13*'Grid Power'!K25</f>
        <v>1382.6962754863248</v>
      </c>
      <c r="E13" s="282">
        <f>D13/(1+Constants!$D$20)^B13</f>
        <v>1180.1179574080081</v>
      </c>
      <c r="G13" s="50" t="s">
        <v>66</v>
      </c>
      <c r="H13" s="285">
        <f>PMT(Constants!$D$21,40,-'Analysis (Nothing)'!I7)</f>
        <v>1550.7049066602067</v>
      </c>
    </row>
    <row r="14" spans="2:13" x14ac:dyDescent="0.25">
      <c r="B14" s="23">
        <v>9</v>
      </c>
      <c r="C14" s="283">
        <f>SUM(Consumption!$D$9:$D$20)</f>
        <v>8300.0400000000009</v>
      </c>
      <c r="D14" s="281">
        <f>C14*'Grid Power'!K26</f>
        <v>1446.602822944395</v>
      </c>
      <c r="E14" s="282">
        <f>D14/(1+Constants!$D$20)^B14</f>
        <v>1210.4525297249754</v>
      </c>
      <c r="G14" s="2"/>
    </row>
    <row r="15" spans="2:13" x14ac:dyDescent="0.25">
      <c r="B15" s="23">
        <v>10</v>
      </c>
      <c r="C15" s="283">
        <f>SUM(Consumption!$D$9:$D$20)</f>
        <v>8300.0400000000009</v>
      </c>
      <c r="D15" s="281">
        <f>C15*'Grid Power'!K27</f>
        <v>1513.6231631458083</v>
      </c>
      <c r="E15" s="282">
        <f>D15/(1+Constants!$D$20)^B15</f>
        <v>1241.6981885383186</v>
      </c>
      <c r="G15" s="58"/>
    </row>
    <row r="16" spans="2:13" x14ac:dyDescent="0.25">
      <c r="B16" s="23">
        <v>11</v>
      </c>
      <c r="C16" s="283">
        <f>SUM(Consumption!$D$9:$D$20)</f>
        <v>8300.0400000000009</v>
      </c>
      <c r="D16" s="281">
        <f>C16*'Grid Power'!K28</f>
        <v>1583.9128998145811</v>
      </c>
      <c r="E16" s="282">
        <f>D16/(1+Constants!$D$20)^B16</f>
        <v>1273.8826024639402</v>
      </c>
      <c r="G16" s="2"/>
    </row>
    <row r="17" spans="2:5" x14ac:dyDescent="0.25">
      <c r="B17" s="23">
        <v>12</v>
      </c>
      <c r="C17" s="283">
        <f>SUM(Consumption!$D$9:$D$20)</f>
        <v>8300.0400000000009</v>
      </c>
      <c r="D17" s="281">
        <f>C17*'Grid Power'!K29</f>
        <v>1657.6355020711253</v>
      </c>
      <c r="E17" s="282">
        <f>D17/(1+Constants!$D$20)^B17</f>
        <v>1307.0342809849549</v>
      </c>
    </row>
    <row r="18" spans="2:5" x14ac:dyDescent="0.25">
      <c r="B18" s="23">
        <v>13</v>
      </c>
      <c r="C18" s="283">
        <f>SUM(Consumption!$D$9:$D$20)</f>
        <v>8300.0400000000009</v>
      </c>
      <c r="D18" s="281">
        <f>C18*'Grid Power'!K30</f>
        <v>1734.962704018805</v>
      </c>
      <c r="E18" s="282">
        <f>D18/(1+Constants!$D$20)^B18</f>
        <v>1341.1826000073775</v>
      </c>
    </row>
    <row r="19" spans="2:5" x14ac:dyDescent="0.25">
      <c r="B19" s="23">
        <v>14</v>
      </c>
      <c r="C19" s="283">
        <f>SUM(Consumption!$D$9:$D$20)</f>
        <v>8300.0400000000009</v>
      </c>
      <c r="D19" s="281">
        <f>C19*'Grid Power'!K31</f>
        <v>1816.0749246753412</v>
      </c>
      <c r="E19" s="282">
        <f>D19/(1+Constants!$D$20)^B19</f>
        <v>1376.3578281925002</v>
      </c>
    </row>
    <row r="20" spans="2:5" x14ac:dyDescent="0.25">
      <c r="B20" s="23">
        <v>15</v>
      </c>
      <c r="C20" s="283">
        <f>SUM(Consumption!$D$9:$D$20)</f>
        <v>8300.0400000000009</v>
      </c>
      <c r="D20" s="281">
        <f>C20*'Grid Power'!K32</f>
        <v>1901.161709285896</v>
      </c>
      <c r="E20" s="282">
        <f>D20/(1+Constants!$D$20)^B20</f>
        <v>1412.5911540895718</v>
      </c>
    </row>
    <row r="21" spans="2:5" x14ac:dyDescent="0.25">
      <c r="B21" s="23">
        <v>16</v>
      </c>
      <c r="C21" s="283">
        <f>SUM(Consumption!$D$9:$D$20)</f>
        <v>8300.0400000000009</v>
      </c>
      <c r="D21" s="281">
        <f>C21*'Grid Power'!K33</f>
        <v>1990.4221931075349</v>
      </c>
      <c r="E21" s="282">
        <f>D21/(1+Constants!$D$20)^B21</f>
        <v>1449.9147140930893</v>
      </c>
    </row>
    <row r="22" spans="2:5" x14ac:dyDescent="0.25">
      <c r="B22" s="23">
        <v>17</v>
      </c>
      <c r="C22" s="283">
        <f>SUM(Consumption!$D$9:$D$20)</f>
        <v>8300.0400000000009</v>
      </c>
      <c r="D22" s="281">
        <f>C22*'Grid Power'!K34</f>
        <v>2084.0655888103352</v>
      </c>
      <c r="E22" s="282">
        <f>D22/(1+Constants!$D$20)^B22</f>
        <v>1488.3616212497839</v>
      </c>
    </row>
    <row r="23" spans="2:5" x14ac:dyDescent="0.25">
      <c r="B23" s="23">
        <v>18</v>
      </c>
      <c r="C23" s="283">
        <f>SUM(Consumption!$D$9:$D$20)</f>
        <v>8300.0400000000009</v>
      </c>
      <c r="D23" s="281">
        <f>C23*'Grid Power'!K35</f>
        <v>2182.3116986987729</v>
      </c>
      <c r="E23" s="282">
        <f>D23/(1+Constants!$D$20)^B23</f>
        <v>1527.9659949411005</v>
      </c>
    </row>
    <row r="24" spans="2:5" x14ac:dyDescent="0.25">
      <c r="B24" s="23">
        <v>19</v>
      </c>
      <c r="C24" s="283">
        <f>SUM(Consumption!$D$9:$D$20)</f>
        <v>8300.0400000000009</v>
      </c>
      <c r="D24" s="281">
        <f>C24*'Grid Power'!K36</f>
        <v>2285.3914530184215</v>
      </c>
      <c r="E24" s="282">
        <f>D24/(1+Constants!$D$20)^B24</f>
        <v>1568.7629914677998</v>
      </c>
    </row>
    <row r="25" spans="2:5" x14ac:dyDescent="0.25">
      <c r="B25" s="61">
        <v>20</v>
      </c>
      <c r="C25" s="62">
        <f>SUM(Consumption!$D$9:$D$20)</f>
        <v>8300.0400000000009</v>
      </c>
      <c r="D25" s="63">
        <f>C25*'Grid Power'!K37</f>
        <v>2393.5474756774643</v>
      </c>
      <c r="E25" s="66">
        <f>D25/(1+Constants!$D$20)^B25</f>
        <v>1610.7888355640896</v>
      </c>
    </row>
    <row r="26" spans="2:5" x14ac:dyDescent="0.25">
      <c r="B26" s="23">
        <v>21</v>
      </c>
      <c r="C26" s="283">
        <f>SUM(Consumption!$D$9:$D$20)</f>
        <v>8300.0400000000009</v>
      </c>
      <c r="D26" s="281">
        <f>C26*'Grid Power'!K38</f>
        <v>2507.034678780331</v>
      </c>
      <c r="E26" s="282">
        <f>D26/(1+Constants!$D$20)^B26</f>
        <v>1654.08085286954</v>
      </c>
    </row>
    <row r="27" spans="2:5" x14ac:dyDescent="0.25">
      <c r="B27" s="23">
        <v>22</v>
      </c>
      <c r="C27" s="283">
        <f>SUM(Consumption!$D$9:$D$20)</f>
        <v>8300.0400000000009</v>
      </c>
      <c r="D27" s="281">
        <f>C27*'Grid Power'!K39</f>
        <v>2626.1208874419963</v>
      </c>
      <c r="E27" s="282">
        <f>D27/(1+Constants!$D$20)^B27</f>
        <v>1698.6775033878853</v>
      </c>
    </row>
    <row r="28" spans="2:5" x14ac:dyDescent="0.25">
      <c r="B28" s="23">
        <v>23</v>
      </c>
      <c r="C28" s="283">
        <f>SUM(Consumption!$D$9:$D$20)</f>
        <v>8300.0400000000009</v>
      </c>
      <c r="D28" s="281">
        <f>C28*'Grid Power'!K40</f>
        <v>2751.0874964263717</v>
      </c>
      <c r="E28" s="282">
        <f>D28/(1+Constants!$D$20)^B28</f>
        <v>1744.6184159627187</v>
      </c>
    </row>
    <row r="29" spans="2:5" x14ac:dyDescent="0.25">
      <c r="B29" s="23">
        <v>24</v>
      </c>
      <c r="C29" s="283">
        <f>SUM(Consumption!$D$9:$D$20)</f>
        <v>8300.0400000000009</v>
      </c>
      <c r="D29" s="281">
        <f>C29*'Grid Power'!K41</f>
        <v>2882.2301602308967</v>
      </c>
      <c r="E29" s="282">
        <f>D29/(1+Constants!$D$20)^B29</f>
        <v>1791.9444238009685</v>
      </c>
    </row>
    <row r="30" spans="2:5" x14ac:dyDescent="0.25">
      <c r="B30" s="23">
        <v>25</v>
      </c>
      <c r="C30" s="283">
        <f>SUM(Consumption!$D$9:$D$20)</f>
        <v>8300.0400000000009</v>
      </c>
      <c r="D30" s="281">
        <f>C30*'Grid Power'!K42</f>
        <v>3019.8595183221614</v>
      </c>
      <c r="E30" s="282">
        <f>D30/(1+Constants!$D$20)^B30</f>
        <v>1840.6976010760172</v>
      </c>
    </row>
    <row r="31" spans="2:5" x14ac:dyDescent="0.25">
      <c r="B31" s="23">
        <v>26</v>
      </c>
      <c r="C31" s="283">
        <f>SUM(Consumption!$D$9:$D$20)</f>
        <v>8300.0400000000009</v>
      </c>
      <c r="D31" s="281">
        <f>C31*'Grid Power'!K43</f>
        <v>3164.3019573143101</v>
      </c>
      <c r="E31" s="282">
        <f>D31/(1+Constants!$D$20)^B31</f>
        <v>1890.9213006432642</v>
      </c>
    </row>
    <row r="32" spans="2:5" x14ac:dyDescent="0.25">
      <c r="B32" s="23">
        <v>27</v>
      </c>
      <c r="C32" s="283">
        <f>SUM(Consumption!$D$9:$D$20)</f>
        <v>8300.0400000000009</v>
      </c>
      <c r="D32" s="281">
        <f>C32*'Grid Power'!K44</f>
        <v>3315.9004119733277</v>
      </c>
      <c r="E32" s="282">
        <f>D32/(1+Constants!$D$20)^B32</f>
        <v>1942.6601929019441</v>
      </c>
    </row>
    <row r="33" spans="2:5" x14ac:dyDescent="0.25">
      <c r="B33" s="23">
        <v>28</v>
      </c>
      <c r="C33" s="283">
        <f>SUM(Consumption!$D$9:$D$20)</f>
        <v>8300.0400000000009</v>
      </c>
      <c r="D33" s="281">
        <f>C33*'Grid Power'!K45</f>
        <v>3475.0152070263471</v>
      </c>
      <c r="E33" s="282">
        <f>D33/(1+Constants!$D$20)^B33</f>
        <v>1995.9603058380428</v>
      </c>
    </row>
    <row r="34" spans="2:5" x14ac:dyDescent="0.25">
      <c r="B34" s="23">
        <v>29</v>
      </c>
      <c r="C34" s="283">
        <f>SUM(Consumption!$D$9:$D$20)</f>
        <v>8300.0400000000009</v>
      </c>
      <c r="D34" s="281">
        <f>C34*'Grid Power'!K46</f>
        <v>3642.0249418560024</v>
      </c>
      <c r="E34" s="282">
        <f>D34/(1+Constants!$D$20)^B34</f>
        <v>2050.869066284205</v>
      </c>
    </row>
    <row r="35" spans="2:5" x14ac:dyDescent="0.25">
      <c r="B35" s="23">
        <v>30</v>
      </c>
      <c r="C35" s="283">
        <f>SUM(Consumption!$D$9:$D$20)</f>
        <v>8300.0400000000009</v>
      </c>
      <c r="D35" s="281">
        <f>C35*'Grid Power'!K47</f>
        <v>3817.3274202659391</v>
      </c>
      <c r="E35" s="282">
        <f>D35/(1+Constants!$D$20)^B35</f>
        <v>2107.4353424336114</v>
      </c>
    </row>
    <row r="36" spans="2:5" x14ac:dyDescent="0.25">
      <c r="B36" s="23">
        <v>31</v>
      </c>
      <c r="C36" s="283">
        <f>SUM(Consumption!$D$9:$D$20)</f>
        <v>8300.0400000000009</v>
      </c>
      <c r="D36" s="281">
        <f>C36*'Grid Power'!K48</f>
        <v>4001.3406276150395</v>
      </c>
      <c r="E36" s="282">
        <f>D36/(1+Constants!$D$20)^B36</f>
        <v>2165.7094876459555</v>
      </c>
    </row>
    <row r="37" spans="2:5" x14ac:dyDescent="0.25">
      <c r="B37" s="23">
        <v>32</v>
      </c>
      <c r="C37" s="283">
        <f>SUM(Consumption!$D$9:$D$20)</f>
        <v>8300.0400000000009</v>
      </c>
      <c r="D37" s="281">
        <f>C37*'Grid Power'!K49</f>
        <v>4194.5037577350849</v>
      </c>
      <c r="E37" s="282">
        <f>D37/(1+Constants!$D$20)^B37</f>
        <v>2225.7433855847653</v>
      </c>
    </row>
    <row r="38" spans="2:5" x14ac:dyDescent="0.25">
      <c r="B38" s="23">
        <v>33</v>
      </c>
      <c r="C38" s="283">
        <f>SUM(Consumption!$D$9:$D$20)</f>
        <v>8300.0400000000009</v>
      </c>
      <c r="D38" s="281">
        <f>C38*'Grid Power'!K50</f>
        <v>4397.2782921697099</v>
      </c>
      <c r="E38" s="282">
        <f>D38/(1+Constants!$D$20)^B38</f>
        <v>2287.5904967265615</v>
      </c>
    </row>
    <row r="39" spans="2:5" x14ac:dyDescent="0.25">
      <c r="B39" s="23">
        <v>34</v>
      </c>
      <c r="C39" s="283">
        <f>SUM(Consumption!$D$9:$D$20)</f>
        <v>8300.0400000000009</v>
      </c>
      <c r="D39" s="281">
        <f>C39*'Grid Power'!K51</f>
        <v>4610.1491344018832</v>
      </c>
      <c r="E39" s="282">
        <f>D39/(1+Constants!$D$20)^B39</f>
        <v>2351.3059062835123</v>
      </c>
    </row>
    <row r="40" spans="2:5" x14ac:dyDescent="0.25">
      <c r="B40" s="23">
        <v>35</v>
      </c>
      <c r="C40" s="283">
        <f>SUM(Consumption!$D$9:$D$20)</f>
        <v>8300.0400000000009</v>
      </c>
      <c r="D40" s="281">
        <f>C40*'Grid Power'!K52</f>
        <v>4833.6258018731905</v>
      </c>
      <c r="E40" s="282">
        <f>D40/(1+Constants!$D$20)^B40</f>
        <v>2416.9463735825711</v>
      </c>
    </row>
    <row r="41" spans="2:5" x14ac:dyDescent="0.25">
      <c r="B41" s="23">
        <v>36</v>
      </c>
      <c r="C41" s="283">
        <f>SUM(Consumption!$D$9:$D$20)</f>
        <v>8300.0400000000009</v>
      </c>
      <c r="D41" s="281">
        <f>C41*'Grid Power'!K53</f>
        <v>5068.2436787411061</v>
      </c>
      <c r="E41" s="282">
        <f>D41/(1+Constants!$D$20)^B41</f>
        <v>2484.5703829453537</v>
      </c>
    </row>
    <row r="42" spans="2:5" x14ac:dyDescent="0.25">
      <c r="B42" s="23">
        <v>37</v>
      </c>
      <c r="C42" s="283">
        <f>SUM(Consumption!$D$9:$D$20)</f>
        <v>8300.0400000000009</v>
      </c>
      <c r="D42" s="281">
        <f>C42*'Grid Power'!K54</f>
        <v>5314.5653324706764</v>
      </c>
      <c r="E42" s="282">
        <f>D42/(1+Constants!$D$20)^B42</f>
        <v>2554.2381961143528</v>
      </c>
    </row>
    <row r="43" spans="2:5" x14ac:dyDescent="0.25">
      <c r="B43" s="23">
        <v>38</v>
      </c>
      <c r="C43" s="283">
        <f>SUM(Consumption!$D$9:$D$20)</f>
        <v>8300.0400000000009</v>
      </c>
      <c r="D43" s="281">
        <f>C43*'Grid Power'!K55</f>
        <v>5573.1818975149581</v>
      </c>
      <c r="E43" s="282">
        <f>D43/(1+Constants!$D$20)^B43</f>
        <v>2626.0119062725157</v>
      </c>
    </row>
    <row r="44" spans="2:5" x14ac:dyDescent="0.25">
      <c r="B44" s="23">
        <v>39</v>
      </c>
      <c r="C44" s="283">
        <f>SUM(Consumption!$D$9:$D$20)</f>
        <v>8300.0400000000009</v>
      </c>
      <c r="D44" s="281">
        <f>C44*'Grid Power'!K56</f>
        <v>5844.7145295044402</v>
      </c>
      <c r="E44" s="282">
        <f>D44/(1+Constants!$D$20)^B44</f>
        <v>2699.9554937045791</v>
      </c>
    </row>
    <row r="45" spans="2:5" x14ac:dyDescent="0.25">
      <c r="B45" s="61">
        <v>40</v>
      </c>
      <c r="C45" s="62">
        <f>SUM(Consumption!$D$9:$D$20)</f>
        <v>8300.0400000000009</v>
      </c>
      <c r="D45" s="63">
        <f>C45*'Grid Power'!K57</f>
        <v>6129.8159335401424</v>
      </c>
      <c r="E45" s="66">
        <f>D45/(1+Constants!$D$20)^B45</f>
        <v>2776.1348831500727</v>
      </c>
    </row>
  </sheetData>
  <mergeCells count="2">
    <mergeCell ref="B3:B4"/>
    <mergeCell ref="G9:H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sheetPr>
    <tabColor rgb="FF00B050"/>
  </sheetPr>
  <dimension ref="B2:AH130"/>
  <sheetViews>
    <sheetView showGridLines="0" topLeftCell="A96" zoomScale="70" zoomScaleNormal="70" workbookViewId="0">
      <selection activeCell="L38" sqref="L38"/>
    </sheetView>
  </sheetViews>
  <sheetFormatPr defaultColWidth="8.85546875" defaultRowHeight="16.5" x14ac:dyDescent="0.3"/>
  <cols>
    <col min="1" max="1" width="8.85546875" style="88"/>
    <col min="2" max="2" width="14.28515625" style="88" bestFit="1" customWidth="1"/>
    <col min="3" max="3" width="7.7109375" style="88" bestFit="1" customWidth="1"/>
    <col min="4" max="4" width="5.28515625" style="88" bestFit="1" customWidth="1"/>
    <col min="5" max="5" width="8.85546875" style="88"/>
    <col min="6" max="6" width="9" style="88" bestFit="1" customWidth="1"/>
    <col min="7" max="7" width="9.85546875" style="88" bestFit="1" customWidth="1"/>
    <col min="8" max="8" width="6.7109375" style="88" bestFit="1" customWidth="1"/>
    <col min="9" max="9" width="11.42578125" style="88" bestFit="1" customWidth="1"/>
    <col min="10" max="11" width="14" style="88" bestFit="1" customWidth="1"/>
    <col min="12" max="12" width="13.85546875" style="88" bestFit="1" customWidth="1"/>
    <col min="13" max="13" width="13.140625" style="88" bestFit="1" customWidth="1"/>
    <col min="14" max="14" width="11" style="88" bestFit="1" customWidth="1"/>
    <col min="15" max="15" width="9" style="88" bestFit="1" customWidth="1"/>
    <col min="16" max="16" width="9" style="88" customWidth="1"/>
    <col min="17" max="17" width="10.7109375" style="88" bestFit="1" customWidth="1"/>
    <col min="18" max="18" width="15.85546875" style="88" bestFit="1" customWidth="1"/>
    <col min="19" max="19" width="12" style="88" bestFit="1" customWidth="1"/>
    <col min="20" max="20" width="8.7109375" style="88" bestFit="1" customWidth="1"/>
    <col min="21" max="21" width="10.140625" style="88" bestFit="1" customWidth="1"/>
    <col min="22" max="22" width="15.42578125" style="88" bestFit="1" customWidth="1"/>
    <col min="23" max="23" width="7.7109375" style="88" bestFit="1" customWidth="1"/>
    <col min="24" max="24" width="10.7109375" style="88" bestFit="1" customWidth="1"/>
    <col min="25" max="25" width="11.42578125" style="88" bestFit="1" customWidth="1"/>
    <col min="26" max="26" width="2.85546875" style="88" customWidth="1"/>
    <col min="27" max="27" width="12.42578125" style="88" bestFit="1" customWidth="1"/>
    <col min="28" max="28" width="20" style="88" bestFit="1" customWidth="1"/>
    <col min="29" max="29" width="7.42578125" style="88" bestFit="1" customWidth="1"/>
    <col min="30" max="16384" width="8.85546875" style="88"/>
  </cols>
  <sheetData>
    <row r="2" spans="2:34" ht="129" x14ac:dyDescent="2.2000000000000002">
      <c r="B2" s="87" t="s">
        <v>227</v>
      </c>
    </row>
    <row r="3" spans="2:34" x14ac:dyDescent="0.3">
      <c r="B3" s="251" t="s">
        <v>150</v>
      </c>
      <c r="C3" s="251"/>
      <c r="D3" s="251"/>
      <c r="F3" s="251" t="s">
        <v>201</v>
      </c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</row>
    <row r="4" spans="2:34" x14ac:dyDescent="0.3">
      <c r="B4" s="99" t="s">
        <v>94</v>
      </c>
      <c r="C4" s="251" t="s">
        <v>151</v>
      </c>
      <c r="D4" s="251"/>
      <c r="F4" s="251" t="s">
        <v>56</v>
      </c>
      <c r="G4" s="251" t="s">
        <v>116</v>
      </c>
      <c r="H4" s="251"/>
      <c r="I4" s="251"/>
      <c r="J4" s="255" t="s">
        <v>6</v>
      </c>
      <c r="K4" s="256"/>
      <c r="L4" s="256"/>
      <c r="M4" s="257"/>
      <c r="N4" s="255" t="s">
        <v>166</v>
      </c>
      <c r="O4" s="256"/>
      <c r="P4" s="257"/>
      <c r="Q4" s="251" t="s">
        <v>176</v>
      </c>
      <c r="R4" s="251"/>
      <c r="S4" s="251"/>
      <c r="T4" s="251"/>
      <c r="U4" s="251"/>
      <c r="V4" s="251"/>
      <c r="W4" s="251"/>
      <c r="X4" s="251" t="s">
        <v>197</v>
      </c>
      <c r="Y4" s="251"/>
      <c r="AA4" s="94" t="s">
        <v>194</v>
      </c>
      <c r="AB4" s="95">
        <f>IRR(X7:X12)</f>
        <v>-0.15745661508845477</v>
      </c>
    </row>
    <row r="5" spans="2:34" x14ac:dyDescent="0.3">
      <c r="B5" s="103">
        <v>1</v>
      </c>
      <c r="C5" s="105">
        <f>Weather!I8*Configurations!$C$24*(1-Constants!$N$9)</f>
        <v>13212.508665947309</v>
      </c>
      <c r="D5" s="150" t="s">
        <v>152</v>
      </c>
      <c r="F5" s="251"/>
      <c r="G5" s="252" t="s">
        <v>153</v>
      </c>
      <c r="H5" s="96" t="s">
        <v>169</v>
      </c>
      <c r="I5" s="96" t="s">
        <v>170</v>
      </c>
      <c r="J5" s="96" t="s">
        <v>162</v>
      </c>
      <c r="K5" s="96" t="s">
        <v>139</v>
      </c>
      <c r="L5" s="96" t="s">
        <v>164</v>
      </c>
      <c r="M5" s="96" t="s">
        <v>226</v>
      </c>
      <c r="N5" s="96" t="s">
        <v>163</v>
      </c>
      <c r="O5" s="96" t="s">
        <v>165</v>
      </c>
      <c r="P5" s="96" t="s">
        <v>146</v>
      </c>
      <c r="Q5" s="96" t="s">
        <v>174</v>
      </c>
      <c r="R5" s="96" t="s">
        <v>177</v>
      </c>
      <c r="S5" s="96" t="s">
        <v>171</v>
      </c>
      <c r="T5" s="96" t="s">
        <v>8</v>
      </c>
      <c r="U5" s="96" t="s">
        <v>173</v>
      </c>
      <c r="V5" s="96" t="s">
        <v>172</v>
      </c>
      <c r="W5" s="96" t="s">
        <v>175</v>
      </c>
      <c r="X5" s="96" t="s">
        <v>196</v>
      </c>
      <c r="Y5" s="96" t="s">
        <v>196</v>
      </c>
      <c r="Z5" s="97"/>
      <c r="AA5" s="94" t="s">
        <v>195</v>
      </c>
      <c r="AB5" s="98">
        <f>IRR(Y7:Y12)</f>
        <v>-0.1739770736161308</v>
      </c>
    </row>
    <row r="6" spans="2:34" x14ac:dyDescent="0.3">
      <c r="B6" s="103">
        <v>2</v>
      </c>
      <c r="C6" s="105">
        <f>Weather!I9*Configurations!$C$24*(1-Constants!$N$9)</f>
        <v>19988.420783894755</v>
      </c>
      <c r="D6" s="150" t="s">
        <v>152</v>
      </c>
      <c r="F6" s="269"/>
      <c r="G6" s="270"/>
      <c r="H6" s="139" t="s">
        <v>62</v>
      </c>
      <c r="I6" s="139" t="s">
        <v>62</v>
      </c>
      <c r="J6" s="139" t="s">
        <v>59</v>
      </c>
      <c r="K6" s="139" t="s">
        <v>59</v>
      </c>
      <c r="L6" s="139" t="s">
        <v>59</v>
      </c>
      <c r="M6" s="139" t="s">
        <v>59</v>
      </c>
      <c r="N6" s="139" t="s">
        <v>59</v>
      </c>
      <c r="O6" s="139" t="s">
        <v>59</v>
      </c>
      <c r="P6" s="139" t="s">
        <v>59</v>
      </c>
      <c r="Q6" s="139" t="s">
        <v>59</v>
      </c>
      <c r="R6" s="139" t="s">
        <v>59</v>
      </c>
      <c r="S6" s="139" t="s">
        <v>59</v>
      </c>
      <c r="T6" s="139" t="s">
        <v>59</v>
      </c>
      <c r="U6" s="139" t="s">
        <v>59</v>
      </c>
      <c r="V6" s="139" t="s">
        <v>59</v>
      </c>
      <c r="W6" s="139" t="s">
        <v>59</v>
      </c>
      <c r="X6" s="139" t="s">
        <v>59</v>
      </c>
      <c r="Y6" s="271" t="s">
        <v>178</v>
      </c>
      <c r="AA6" s="100" t="s">
        <v>198</v>
      </c>
      <c r="AB6" s="101">
        <f>NPV(Constants!$D$21,'Analysis (A)'!Y8:Y12)+'Analysis (A)'!Y7</f>
        <v>-998.4908727013011</v>
      </c>
    </row>
    <row r="7" spans="2:34" x14ac:dyDescent="0.3">
      <c r="B7" s="103">
        <v>3</v>
      </c>
      <c r="C7" s="105">
        <f>Weather!I10*Configurations!$C$24*(1-Constants!$N$9)</f>
        <v>36330.438042651345</v>
      </c>
      <c r="D7" s="150" t="s">
        <v>152</v>
      </c>
      <c r="F7" s="160">
        <v>0</v>
      </c>
      <c r="G7" s="161">
        <v>1</v>
      </c>
      <c r="H7" s="162">
        <v>0</v>
      </c>
      <c r="I7" s="162">
        <v>0</v>
      </c>
      <c r="J7" s="163">
        <v>0</v>
      </c>
      <c r="K7" s="164">
        <f>Configurations!$C$18</f>
        <v>2037.9749999999999</v>
      </c>
      <c r="L7" s="164">
        <f>Configurations!$C$24*Constants!$D$63</f>
        <v>4</v>
      </c>
      <c r="M7" s="164">
        <v>0</v>
      </c>
      <c r="N7" s="164">
        <f>Configurations!$C$24*(Incentives!$C$5+Incentives!$C$6)</f>
        <v>360</v>
      </c>
      <c r="O7" s="164">
        <f>IF(H7&lt;I7,0,H7-I7)</f>
        <v>0</v>
      </c>
      <c r="P7" s="164">
        <v>0</v>
      </c>
      <c r="Q7" s="163">
        <f>N7+O7+P7-L7-K7-J7-M7</f>
        <v>-1681.9749999999999</v>
      </c>
      <c r="R7" s="163">
        <f>'Analysis (A)'!Q7+'Analysis (Nothing)'!D5</f>
        <v>-1681.9749999999999</v>
      </c>
      <c r="S7" s="163">
        <f>$K$7/2</f>
        <v>1018.9875</v>
      </c>
      <c r="T7" s="164">
        <v>0</v>
      </c>
      <c r="U7" s="163">
        <f>S7-T7</f>
        <v>1018.9875</v>
      </c>
      <c r="V7" s="164">
        <f>IF(R7&lt;0, 0,R7-T7)</f>
        <v>0</v>
      </c>
      <c r="W7" s="163">
        <f>V7*Constants!$D$23</f>
        <v>0</v>
      </c>
      <c r="X7" s="163">
        <f t="shared" ref="X7:X12" si="0">R7-W7</f>
        <v>-1681.9749999999999</v>
      </c>
      <c r="Y7" s="165">
        <f>X7*(1+Constants!$D$20)^-F7</f>
        <v>-1681.9749999999999</v>
      </c>
      <c r="AA7" s="94" t="s">
        <v>199</v>
      </c>
      <c r="AB7" s="109">
        <f>PMT(Constants!$D$21,5,-'Analysis (A)'!AB6)</f>
        <v>-218.02504655607973</v>
      </c>
    </row>
    <row r="8" spans="2:34" x14ac:dyDescent="0.3">
      <c r="B8" s="103">
        <v>4</v>
      </c>
      <c r="C8" s="105">
        <f>Weather!I11*Configurations!$C$24*(1-Constants!$N$9)</f>
        <v>62537.326290685734</v>
      </c>
      <c r="D8" s="150" t="s">
        <v>152</v>
      </c>
      <c r="F8" s="103">
        <v>1</v>
      </c>
      <c r="G8" s="110">
        <f>G7*(1-Constants!$D$11)</f>
        <v>0.995</v>
      </c>
      <c r="H8" s="105">
        <f>$C$17*(G8-Constants!$N$16)</f>
        <v>706.28393048473583</v>
      </c>
      <c r="I8" s="105">
        <f>Consumption!$C$2-'Analysis (A)'!H8</f>
        <v>7593.7160695152643</v>
      </c>
      <c r="J8" s="106">
        <f>I8*'Grid Power'!K18</f>
        <v>924.91950762010799</v>
      </c>
      <c r="K8" s="107">
        <v>0</v>
      </c>
      <c r="L8" s="107">
        <f>L7*(1+Constants!$D$20)</f>
        <v>4.08</v>
      </c>
      <c r="M8" s="107">
        <v>0</v>
      </c>
      <c r="N8" s="107">
        <v>0</v>
      </c>
      <c r="O8" s="107">
        <f t="shared" ref="O8:O11" si="1">IF(H8&lt;I8,0,H8-I8)</f>
        <v>0</v>
      </c>
      <c r="P8" s="107">
        <v>0</v>
      </c>
      <c r="Q8" s="106">
        <f t="shared" ref="Q8:Q12" si="2">N8+O8+P8-L8-K8-J8-M8</f>
        <v>-928.99950762010803</v>
      </c>
      <c r="R8" s="106">
        <f>'Analysis (A)'!Q8+'Analysis (Nothing)'!D6</f>
        <v>81.950709605652037</v>
      </c>
      <c r="S8" s="106">
        <f>$K$7/2</f>
        <v>1018.9875</v>
      </c>
      <c r="T8" s="106">
        <f>U7*Configurations!$G$6</f>
        <v>305.69624999999996</v>
      </c>
      <c r="U8" s="106">
        <f>U7+S8-T8</f>
        <v>1732.2787499999999</v>
      </c>
      <c r="V8" s="107">
        <f>IF(R8&lt;0, 0,IF(R8-T8&lt;0,0,R8-T8))</f>
        <v>0</v>
      </c>
      <c r="W8" s="106">
        <f>V8*Constants!$D$23</f>
        <v>0</v>
      </c>
      <c r="X8" s="106">
        <f t="shared" si="0"/>
        <v>81.950709605652037</v>
      </c>
      <c r="Y8" s="108">
        <f>X8*(1+Constants!$D$20)^-F8</f>
        <v>80.343832946717683</v>
      </c>
    </row>
    <row r="9" spans="2:34" x14ac:dyDescent="0.3">
      <c r="B9" s="103">
        <v>5</v>
      </c>
      <c r="C9" s="105">
        <f>Weather!I12*Configurations!$C$24*(1-Constants!$N$9)</f>
        <v>92840.864038482381</v>
      </c>
      <c r="D9" s="150" t="s">
        <v>152</v>
      </c>
      <c r="F9" s="103">
        <v>2</v>
      </c>
      <c r="G9" s="110">
        <f>G8*(1-Constants!$D$11)</f>
        <v>0.99002500000000004</v>
      </c>
      <c r="H9" s="105">
        <f>$C$17*(G9-Constants!$N$16)</f>
        <v>702.68007145482659</v>
      </c>
      <c r="I9" s="105">
        <f>Consumption!$C$2-'Analysis (A)'!H9</f>
        <v>7597.3199285451738</v>
      </c>
      <c r="J9" s="106">
        <f>I9*'Grid Power'!K19</f>
        <v>967.35550792303843</v>
      </c>
      <c r="K9" s="107">
        <v>0</v>
      </c>
      <c r="L9" s="107">
        <f>L8*(1+Constants!$D$20)</f>
        <v>4.1616</v>
      </c>
      <c r="M9" s="107">
        <v>0</v>
      </c>
      <c r="N9" s="107">
        <v>0</v>
      </c>
      <c r="O9" s="107">
        <f t="shared" si="1"/>
        <v>0</v>
      </c>
      <c r="P9" s="107">
        <v>0</v>
      </c>
      <c r="Q9" s="106">
        <f t="shared" si="2"/>
        <v>-971.51710792303845</v>
      </c>
      <c r="R9" s="106">
        <f>'Analysis (A)'!Q9+'Analysis (Nothing)'!D7</f>
        <v>85.314707177190371</v>
      </c>
      <c r="S9" s="107">
        <f>IF(MOD(L9,5)=0,L9/2,0)</f>
        <v>0</v>
      </c>
      <c r="T9" s="106">
        <f>U8*Configurations!$G$6</f>
        <v>519.68362500000001</v>
      </c>
      <c r="U9" s="106">
        <f>U8+S9-T9</f>
        <v>1212.5951249999998</v>
      </c>
      <c r="V9" s="107">
        <f t="shared" ref="V9:V12" si="3">IF(R9&lt;0, 0,IF(R9-T9&lt;0,0,R9-T9))</f>
        <v>0</v>
      </c>
      <c r="W9" s="106">
        <f>V9*Constants!$D$23</f>
        <v>0</v>
      </c>
      <c r="X9" s="106">
        <f t="shared" si="0"/>
        <v>85.314707177190371</v>
      </c>
      <c r="Y9" s="108">
        <f>X9*(1+Constants!$D$20)^-F9</f>
        <v>82.001833119175672</v>
      </c>
      <c r="AH9" s="93"/>
    </row>
    <row r="10" spans="2:34" x14ac:dyDescent="0.3">
      <c r="B10" s="103">
        <v>6</v>
      </c>
      <c r="C10" s="105">
        <f>Weather!I13*Configurations!$C$24*(1-Constants!$N$9)</f>
        <v>115697.25483760801</v>
      </c>
      <c r="D10" s="150" t="s">
        <v>152</v>
      </c>
      <c r="F10" s="103">
        <v>3</v>
      </c>
      <c r="G10" s="110">
        <f>G9*(1-Constants!$D$11)</f>
        <v>0.98507487500000002</v>
      </c>
      <c r="H10" s="105">
        <f>$C$17*(G10-Constants!$N$16)</f>
        <v>699.09423172006677</v>
      </c>
      <c r="I10" s="105">
        <f>Consumption!$C$2-'Analysis (A)'!H10</f>
        <v>7600.905768279933</v>
      </c>
      <c r="J10" s="106">
        <f>I10*'Grid Power'!K20</f>
        <v>1011.857446902431</v>
      </c>
      <c r="K10" s="107">
        <v>0</v>
      </c>
      <c r="L10" s="107">
        <f>L9*(1+Constants!$D$20)</f>
        <v>4.2448319999999997</v>
      </c>
      <c r="M10" s="107">
        <v>0</v>
      </c>
      <c r="N10" s="107">
        <v>0</v>
      </c>
      <c r="O10" s="107">
        <f t="shared" si="1"/>
        <v>0</v>
      </c>
      <c r="P10" s="107">
        <v>0</v>
      </c>
      <c r="Q10" s="106">
        <f t="shared" si="2"/>
        <v>-1016.102278902431</v>
      </c>
      <c r="R10" s="106">
        <f>'Analysis (A)'!Q10+'Analysis (Nothing)'!D8</f>
        <v>88.826204573375207</v>
      </c>
      <c r="S10" s="107">
        <f t="shared" ref="S10:S11" si="4">IF(MOD(L10,5)=0,L10/2,0)</f>
        <v>0</v>
      </c>
      <c r="T10" s="106">
        <f>U9*Configurations!$G$6</f>
        <v>363.77853749999991</v>
      </c>
      <c r="U10" s="106">
        <f>U9+S10-T10</f>
        <v>848.81658749999997</v>
      </c>
      <c r="V10" s="107">
        <f t="shared" si="3"/>
        <v>0</v>
      </c>
      <c r="W10" s="106">
        <f>V10*Constants!$D$23</f>
        <v>0</v>
      </c>
      <c r="X10" s="106">
        <f t="shared" si="0"/>
        <v>88.826204573375207</v>
      </c>
      <c r="Y10" s="108">
        <f>X10*(1+Constants!$D$20)^-F10</f>
        <v>83.702916462536294</v>
      </c>
      <c r="AH10" s="93"/>
    </row>
    <row r="11" spans="2:34" x14ac:dyDescent="0.3">
      <c r="B11" s="103">
        <v>7</v>
      </c>
      <c r="C11" s="105">
        <f>Weather!I14*Configurations!$C$24*(1-Constants!$N$9)</f>
        <v>120301.3364943896</v>
      </c>
      <c r="D11" s="150" t="s">
        <v>152</v>
      </c>
      <c r="F11" s="103">
        <v>4</v>
      </c>
      <c r="G11" s="110">
        <f>G10*(1-Constants!$D$11)</f>
        <v>0.98014950062500006</v>
      </c>
      <c r="H11" s="105">
        <f>$C$17*(G11-Constants!$N$16)</f>
        <v>695.52632118398083</v>
      </c>
      <c r="I11" s="105">
        <f>Consumption!$C$2-'Analysis (A)'!H11</f>
        <v>7604.4736788160189</v>
      </c>
      <c r="J11" s="106">
        <f>I11*'Grid Power'!K21</f>
        <v>1058.5288789252872</v>
      </c>
      <c r="K11" s="107">
        <v>0</v>
      </c>
      <c r="L11" s="107">
        <f>L10*(1+Constants!$D$20)</f>
        <v>4.3297286399999999</v>
      </c>
      <c r="M11" s="107">
        <v>0</v>
      </c>
      <c r="N11" s="107">
        <v>0</v>
      </c>
      <c r="O11" s="107">
        <f t="shared" si="1"/>
        <v>0</v>
      </c>
      <c r="P11" s="107">
        <v>0</v>
      </c>
      <c r="Q11" s="106">
        <f t="shared" si="2"/>
        <v>-1062.8586075652872</v>
      </c>
      <c r="R11" s="106">
        <f>'Analysis (A)'!Q11+'Analysis (Nothing)'!D9</f>
        <v>92.491835780971314</v>
      </c>
      <c r="S11" s="107">
        <f t="shared" si="4"/>
        <v>0</v>
      </c>
      <c r="T11" s="106">
        <f>U10*Configurations!$G$6</f>
        <v>254.64497624999998</v>
      </c>
      <c r="U11" s="106">
        <f>U10+S11-T11</f>
        <v>594.17161124999996</v>
      </c>
      <c r="V11" s="107">
        <f t="shared" si="3"/>
        <v>0</v>
      </c>
      <c r="W11" s="106">
        <f>V11*Constants!$D$23</f>
        <v>0</v>
      </c>
      <c r="X11" s="106">
        <f t="shared" si="0"/>
        <v>92.491835780971314</v>
      </c>
      <c r="Y11" s="108">
        <f>X11*(1+Constants!$D$20)^-F11</f>
        <v>85.448159431045838</v>
      </c>
    </row>
    <row r="12" spans="2:34" x14ac:dyDescent="0.3">
      <c r="B12" s="103">
        <v>8</v>
      </c>
      <c r="C12" s="105">
        <f>Weather!I15*Configurations!$C$24*(1-Constants!$N$9)</f>
        <v>104169.01692184545</v>
      </c>
      <c r="D12" s="150" t="s">
        <v>152</v>
      </c>
      <c r="F12" s="111">
        <v>5</v>
      </c>
      <c r="G12" s="112">
        <f>G11*(1-Constants!$D$11)</f>
        <v>0.97524875312187509</v>
      </c>
      <c r="H12" s="113">
        <f>$C$17*(G12-Constants!$N$16)</f>
        <v>691.97625020057535</v>
      </c>
      <c r="I12" s="113">
        <f>Consumption!$C$2-'Analysis (A)'!H12</f>
        <v>7608.0237497994249</v>
      </c>
      <c r="J12" s="114">
        <f>I12*'Grid Power'!K22</f>
        <v>1107.4786174836258</v>
      </c>
      <c r="K12" s="115">
        <v>0</v>
      </c>
      <c r="L12" s="115">
        <f>L11*(1+Constants!$D$20)</f>
        <v>4.4163232128000001</v>
      </c>
      <c r="M12" s="115">
        <v>0</v>
      </c>
      <c r="N12" s="115">
        <v>0</v>
      </c>
      <c r="O12" s="115">
        <v>0</v>
      </c>
      <c r="P12" s="115">
        <f>U12</f>
        <v>418.12828948139997</v>
      </c>
      <c r="Q12" s="114">
        <f t="shared" si="2"/>
        <v>-693.76665121502583</v>
      </c>
      <c r="R12" s="114">
        <f>'Analysis (A)'!Q12+'Analysis (Nothing)'!D10</f>
        <v>514.44682531376816</v>
      </c>
      <c r="S12" s="115">
        <f>IF(L12&lt;&gt;0,L12/2,IF(L11&lt;&gt;0,L11/2,0))</f>
        <v>2.2081616064</v>
      </c>
      <c r="T12" s="114">
        <f>U11*Configurations!$G$6</f>
        <v>178.25148337499999</v>
      </c>
      <c r="U12" s="114">
        <f>U11+S12-T12</f>
        <v>418.12828948139997</v>
      </c>
      <c r="V12" s="115">
        <f t="shared" si="3"/>
        <v>336.19534193876814</v>
      </c>
      <c r="W12" s="114">
        <f>V12*Constants!$D$23</f>
        <v>33.619534193876817</v>
      </c>
      <c r="X12" s="114">
        <f t="shared" si="0"/>
        <v>480.82729111989136</v>
      </c>
      <c r="Y12" s="116">
        <f>X12*(1+Constants!$D$20)^-F12</f>
        <v>435.50009177434396</v>
      </c>
    </row>
    <row r="13" spans="2:34" x14ac:dyDescent="0.3">
      <c r="B13" s="103">
        <v>9</v>
      </c>
      <c r="C13" s="105">
        <f>Weather!I16*Configurations!$C$24*(1-Constants!$N$9)</f>
        <v>75044.791548822875</v>
      </c>
      <c r="D13" s="150" t="s">
        <v>152</v>
      </c>
    </row>
    <row r="14" spans="2:34" x14ac:dyDescent="0.3">
      <c r="B14" s="103">
        <v>10</v>
      </c>
      <c r="C14" s="105">
        <f>Weather!I17*Configurations!$C$24*(1-Constants!$N$9)</f>
        <v>45413.047553314187</v>
      </c>
      <c r="D14" s="150" t="s">
        <v>152</v>
      </c>
      <c r="F14" s="251" t="s">
        <v>202</v>
      </c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</row>
    <row r="15" spans="2:34" x14ac:dyDescent="0.3">
      <c r="B15" s="103">
        <v>11</v>
      </c>
      <c r="C15" s="105">
        <f>Weather!I18*Configurations!$C$24*(1-Constants!$N$9)</f>
        <v>24466.389716211663</v>
      </c>
      <c r="D15" s="150" t="s">
        <v>152</v>
      </c>
      <c r="F15" s="251" t="s">
        <v>56</v>
      </c>
      <c r="G15" s="251" t="s">
        <v>116</v>
      </c>
      <c r="H15" s="251"/>
      <c r="I15" s="251"/>
      <c r="J15" s="255" t="s">
        <v>6</v>
      </c>
      <c r="K15" s="256"/>
      <c r="L15" s="256"/>
      <c r="M15" s="257"/>
      <c r="N15" s="255" t="s">
        <v>166</v>
      </c>
      <c r="O15" s="256"/>
      <c r="P15" s="257"/>
      <c r="Q15" s="251" t="s">
        <v>176</v>
      </c>
      <c r="R15" s="251"/>
      <c r="S15" s="251"/>
      <c r="T15" s="251"/>
      <c r="U15" s="251"/>
      <c r="V15" s="251"/>
      <c r="W15" s="251"/>
      <c r="X15" s="251" t="s">
        <v>197</v>
      </c>
      <c r="Y15" s="251"/>
      <c r="AA15" s="94" t="s">
        <v>194</v>
      </c>
      <c r="AB15" s="95">
        <f>IRR(X18:X38)</f>
        <v>-1.1144203255045504E-2</v>
      </c>
    </row>
    <row r="16" spans="2:34" x14ac:dyDescent="0.3">
      <c r="B16" s="111">
        <v>12</v>
      </c>
      <c r="C16" s="113">
        <f>Weather!I19*Configurations!$C$24*(1-Constants!$N$9)</f>
        <v>14392.379962285839</v>
      </c>
      <c r="D16" s="151" t="s">
        <v>152</v>
      </c>
      <c r="F16" s="251"/>
      <c r="G16" s="252" t="s">
        <v>153</v>
      </c>
      <c r="H16" s="96" t="s">
        <v>169</v>
      </c>
      <c r="I16" s="96" t="s">
        <v>170</v>
      </c>
      <c r="J16" s="96" t="s">
        <v>162</v>
      </c>
      <c r="K16" s="96" t="s">
        <v>139</v>
      </c>
      <c r="L16" s="96" t="s">
        <v>164</v>
      </c>
      <c r="M16" s="96" t="s">
        <v>226</v>
      </c>
      <c r="N16" s="96" t="s">
        <v>163</v>
      </c>
      <c r="O16" s="96" t="s">
        <v>165</v>
      </c>
      <c r="P16" s="96" t="s">
        <v>146</v>
      </c>
      <c r="Q16" s="96" t="s">
        <v>174</v>
      </c>
      <c r="R16" s="96" t="s">
        <v>177</v>
      </c>
      <c r="S16" s="96" t="s">
        <v>171</v>
      </c>
      <c r="T16" s="96" t="s">
        <v>8</v>
      </c>
      <c r="U16" s="96" t="s">
        <v>173</v>
      </c>
      <c r="V16" s="96" t="s">
        <v>172</v>
      </c>
      <c r="W16" s="96" t="s">
        <v>175</v>
      </c>
      <c r="X16" s="96" t="s">
        <v>196</v>
      </c>
      <c r="Y16" s="96" t="s">
        <v>196</v>
      </c>
      <c r="AA16" s="94" t="s">
        <v>195</v>
      </c>
      <c r="AB16" s="98">
        <f>IRR(Y18:Y38)</f>
        <v>-3.0533532604556712E-2</v>
      </c>
    </row>
    <row r="17" spans="2:30" x14ac:dyDescent="0.3">
      <c r="B17" s="152" t="s">
        <v>87</v>
      </c>
      <c r="C17" s="153">
        <f>SUM(C5:C16)/1000</f>
        <v>724.39377485613932</v>
      </c>
      <c r="D17" s="154" t="s">
        <v>108</v>
      </c>
      <c r="F17" s="269"/>
      <c r="G17" s="270"/>
      <c r="H17" s="139" t="s">
        <v>62</v>
      </c>
      <c r="I17" s="139" t="s">
        <v>62</v>
      </c>
      <c r="J17" s="139" t="s">
        <v>59</v>
      </c>
      <c r="K17" s="139" t="s">
        <v>59</v>
      </c>
      <c r="L17" s="139" t="s">
        <v>59</v>
      </c>
      <c r="M17" s="139" t="s">
        <v>59</v>
      </c>
      <c r="N17" s="139" t="s">
        <v>59</v>
      </c>
      <c r="O17" s="139" t="s">
        <v>59</v>
      </c>
      <c r="P17" s="139" t="s">
        <v>59</v>
      </c>
      <c r="Q17" s="139" t="s">
        <v>59</v>
      </c>
      <c r="R17" s="139" t="s">
        <v>59</v>
      </c>
      <c r="S17" s="139" t="s">
        <v>59</v>
      </c>
      <c r="T17" s="139" t="s">
        <v>59</v>
      </c>
      <c r="U17" s="139" t="s">
        <v>59</v>
      </c>
      <c r="V17" s="139" t="s">
        <v>59</v>
      </c>
      <c r="W17" s="139" t="s">
        <v>59</v>
      </c>
      <c r="X17" s="139" t="s">
        <v>59</v>
      </c>
      <c r="Y17" s="271" t="s">
        <v>178</v>
      </c>
      <c r="AA17" s="100" t="s">
        <v>198</v>
      </c>
      <c r="AB17" s="108">
        <f>NPV(Constants!$D$21,'Analysis (A)'!Y19:Y38)+'Analysis (A)'!Y18</f>
        <v>-860.17029360052004</v>
      </c>
    </row>
    <row r="18" spans="2:30" x14ac:dyDescent="0.3">
      <c r="F18" s="160">
        <v>0</v>
      </c>
      <c r="G18" s="272">
        <v>1</v>
      </c>
      <c r="H18" s="162">
        <v>0</v>
      </c>
      <c r="I18" s="273">
        <v>0</v>
      </c>
      <c r="J18" s="274">
        <v>0</v>
      </c>
      <c r="K18" s="274">
        <f>Configurations!$C$18</f>
        <v>2037.9749999999999</v>
      </c>
      <c r="L18" s="164">
        <f>Configurations!$C$24*Constants!$D$63</f>
        <v>4</v>
      </c>
      <c r="M18" s="163">
        <v>0</v>
      </c>
      <c r="N18" s="274">
        <f>Configurations!$C$24*(Incentives!$C$5+Incentives!$C$6)</f>
        <v>360</v>
      </c>
      <c r="O18" s="274">
        <f>IF(H18&lt;I18,0,H18-I18)</f>
        <v>0</v>
      </c>
      <c r="P18" s="274">
        <v>0</v>
      </c>
      <c r="Q18" s="274">
        <f>N18+O18+P18-L18-K18-J18-M18</f>
        <v>-1681.9749999999999</v>
      </c>
      <c r="R18" s="274">
        <f>'Analysis (A)'!Q18+'Analysis (Nothing)'!D5</f>
        <v>-1681.9749999999999</v>
      </c>
      <c r="S18" s="274">
        <f>$K$7/2</f>
        <v>1018.9875</v>
      </c>
      <c r="T18" s="274">
        <v>0</v>
      </c>
      <c r="U18" s="274">
        <f>S18-T18</f>
        <v>1018.9875</v>
      </c>
      <c r="V18" s="274">
        <f>IF(R18&lt;0, 0,R18-T18)</f>
        <v>0</v>
      </c>
      <c r="W18" s="274">
        <f>V18*Constants!$D$23</f>
        <v>0</v>
      </c>
      <c r="X18" s="274">
        <f t="shared" ref="X18:X38" si="5">R18-W18</f>
        <v>-1681.9749999999999</v>
      </c>
      <c r="Y18" s="275">
        <f>X18*(1+Constants!$D$20)^-F18</f>
        <v>-1681.9749999999999</v>
      </c>
      <c r="AA18" s="94" t="s">
        <v>199</v>
      </c>
      <c r="AB18" s="109">
        <f>PMT(Constants!$D$21,5,-'Analysis (A)'!AB17)</f>
        <v>-187.82211579064921</v>
      </c>
      <c r="AC18" s="122"/>
      <c r="AD18" s="102"/>
    </row>
    <row r="19" spans="2:30" x14ac:dyDescent="0.3">
      <c r="F19" s="103">
        <v>1</v>
      </c>
      <c r="G19" s="110">
        <f>G18*(1-Constants!$D$11)</f>
        <v>0.995</v>
      </c>
      <c r="H19" s="105">
        <f>$C$17*(G19-Constants!$N$16)</f>
        <v>706.28393048473583</v>
      </c>
      <c r="I19" s="119">
        <f>Consumption!$C$2-'Analysis (A)'!H19</f>
        <v>7593.7160695152643</v>
      </c>
      <c r="J19" s="120">
        <f>I19*'Grid Power'!K18</f>
        <v>924.91950762010799</v>
      </c>
      <c r="K19" s="120">
        <v>0</v>
      </c>
      <c r="L19" s="107">
        <f>L18*(1+Constants!$D$20)</f>
        <v>4.08</v>
      </c>
      <c r="M19" s="106">
        <v>0</v>
      </c>
      <c r="N19" s="120">
        <v>0</v>
      </c>
      <c r="O19" s="120">
        <f>IF(H19&lt;I19,0,H19-I19)</f>
        <v>0</v>
      </c>
      <c r="P19" s="120">
        <v>0</v>
      </c>
      <c r="Q19" s="120">
        <f t="shared" ref="Q19:Q38" si="6">N19+O19+P19-L19-K19-J19-M19</f>
        <v>-928.99950762010803</v>
      </c>
      <c r="R19" s="120">
        <f>'Analysis (A)'!Q19+'Analysis (Nothing)'!D6</f>
        <v>81.950709605652037</v>
      </c>
      <c r="S19" s="120">
        <f>$K$7/2</f>
        <v>1018.9875</v>
      </c>
      <c r="T19" s="120">
        <f>U18*Configurations!$G$6</f>
        <v>305.69624999999996</v>
      </c>
      <c r="U19" s="120">
        <f t="shared" ref="U19:U38" si="7">U18+S19-T19</f>
        <v>1732.2787499999999</v>
      </c>
      <c r="V19" s="120">
        <f>IF(R19&lt;0, 0,IF(R19-T19&lt;0,0,R19-T19))</f>
        <v>0</v>
      </c>
      <c r="W19" s="120">
        <f>V19*Constants!$D$23</f>
        <v>0</v>
      </c>
      <c r="X19" s="120">
        <f t="shared" si="5"/>
        <v>81.950709605652037</v>
      </c>
      <c r="Y19" s="121">
        <f>X19*(1+Constants!$D$20)^-F19</f>
        <v>80.343832946717683</v>
      </c>
      <c r="AC19" s="122"/>
      <c r="AD19" s="102"/>
    </row>
    <row r="20" spans="2:30" x14ac:dyDescent="0.3">
      <c r="F20" s="103">
        <v>2</v>
      </c>
      <c r="G20" s="110">
        <f>G19*(1-Constants!$D$11)</f>
        <v>0.99002500000000004</v>
      </c>
      <c r="H20" s="105">
        <f>$C$17*(G20-Constants!$N$16)</f>
        <v>702.68007145482659</v>
      </c>
      <c r="I20" s="119">
        <f>Consumption!$C$2-'Analysis (A)'!H20</f>
        <v>7597.3199285451738</v>
      </c>
      <c r="J20" s="120">
        <f>I20*'Grid Power'!K19</f>
        <v>967.35550792303843</v>
      </c>
      <c r="K20" s="120">
        <v>0</v>
      </c>
      <c r="L20" s="107">
        <f>L19*(1+Constants!$D$20)</f>
        <v>4.1616</v>
      </c>
      <c r="M20" s="106">
        <v>0</v>
      </c>
      <c r="N20" s="120">
        <v>0</v>
      </c>
      <c r="O20" s="120">
        <f>IF(H20&lt;I20,0,H20-I20)</f>
        <v>0</v>
      </c>
      <c r="P20" s="120">
        <v>0</v>
      </c>
      <c r="Q20" s="120">
        <f t="shared" si="6"/>
        <v>-971.51710792303845</v>
      </c>
      <c r="R20" s="120">
        <f>'Analysis (A)'!Q20+'Analysis (Nothing)'!D7</f>
        <v>85.314707177190371</v>
      </c>
      <c r="S20" s="120">
        <f>IF(MOD(L20,5)=0,L20/2,0)</f>
        <v>0</v>
      </c>
      <c r="T20" s="120">
        <f>U19*Configurations!$G$6</f>
        <v>519.68362500000001</v>
      </c>
      <c r="U20" s="120">
        <f t="shared" si="7"/>
        <v>1212.5951249999998</v>
      </c>
      <c r="V20" s="120">
        <f t="shared" ref="V20:V28" si="8">IF(R20&lt;0, 0,IF(R20-T20&lt;0,0,R20-T20))</f>
        <v>0</v>
      </c>
      <c r="W20" s="120">
        <f>V20*Constants!$D$23</f>
        <v>0</v>
      </c>
      <c r="X20" s="120">
        <f t="shared" si="5"/>
        <v>85.314707177190371</v>
      </c>
      <c r="Y20" s="121">
        <f>X20*(1+Constants!$D$20)^-F20</f>
        <v>82.001833119175672</v>
      </c>
      <c r="AA20" s="122"/>
      <c r="AC20" s="122"/>
      <c r="AD20" s="102"/>
    </row>
    <row r="21" spans="2:30" x14ac:dyDescent="0.3">
      <c r="F21" s="103">
        <v>3</v>
      </c>
      <c r="G21" s="110">
        <f>G20*(1-Constants!$D$11)</f>
        <v>0.98507487500000002</v>
      </c>
      <c r="H21" s="105">
        <f>$C$17*(G21-Constants!$N$16)</f>
        <v>699.09423172006677</v>
      </c>
      <c r="I21" s="119">
        <f>Consumption!$C$2-'Analysis (A)'!H21</f>
        <v>7600.905768279933</v>
      </c>
      <c r="J21" s="120">
        <f>I21*'Grid Power'!K20</f>
        <v>1011.857446902431</v>
      </c>
      <c r="K21" s="120">
        <v>0</v>
      </c>
      <c r="L21" s="107">
        <f>L20*(1+Constants!$D$20)</f>
        <v>4.2448319999999997</v>
      </c>
      <c r="M21" s="106">
        <v>0</v>
      </c>
      <c r="N21" s="120">
        <v>0</v>
      </c>
      <c r="O21" s="120">
        <f>IF(H21&lt;I21,0,H21-I21)</f>
        <v>0</v>
      </c>
      <c r="P21" s="120">
        <v>0</v>
      </c>
      <c r="Q21" s="120">
        <f t="shared" si="6"/>
        <v>-1016.102278902431</v>
      </c>
      <c r="R21" s="120">
        <f>'Analysis (A)'!Q21+'Analysis (Nothing)'!D8</f>
        <v>88.826204573375207</v>
      </c>
      <c r="S21" s="120">
        <f t="shared" ref="S21:S22" si="9">IF(MOD(L21,5)=0,L21/2,0)</f>
        <v>0</v>
      </c>
      <c r="T21" s="120">
        <f>U20*Configurations!$G$6</f>
        <v>363.77853749999991</v>
      </c>
      <c r="U21" s="120">
        <f t="shared" si="7"/>
        <v>848.81658749999997</v>
      </c>
      <c r="V21" s="120">
        <f t="shared" si="8"/>
        <v>0</v>
      </c>
      <c r="W21" s="120">
        <f>V21*Constants!$D$23</f>
        <v>0</v>
      </c>
      <c r="X21" s="120">
        <f t="shared" si="5"/>
        <v>88.826204573375207</v>
      </c>
      <c r="Y21" s="121">
        <f>X21*(1+Constants!$D$20)^-F21</f>
        <v>83.702916462536294</v>
      </c>
      <c r="AA21" s="122"/>
      <c r="AC21" s="122"/>
      <c r="AD21" s="102"/>
    </row>
    <row r="22" spans="2:30" x14ac:dyDescent="0.3">
      <c r="F22" s="103">
        <v>4</v>
      </c>
      <c r="G22" s="110">
        <f>G21*(1-Constants!$D$11)</f>
        <v>0.98014950062500006</v>
      </c>
      <c r="H22" s="105">
        <f>$C$17*(G22-Constants!$N$16)</f>
        <v>695.52632118398083</v>
      </c>
      <c r="I22" s="119">
        <f>Consumption!$C$2-'Analysis (A)'!H22</f>
        <v>7604.4736788160189</v>
      </c>
      <c r="J22" s="120">
        <f>I22*'Grid Power'!K21</f>
        <v>1058.5288789252872</v>
      </c>
      <c r="K22" s="120">
        <v>0</v>
      </c>
      <c r="L22" s="107">
        <f>L21*(1+Constants!$D$20)</f>
        <v>4.3297286399999999</v>
      </c>
      <c r="M22" s="106">
        <v>0</v>
      </c>
      <c r="N22" s="120">
        <v>0</v>
      </c>
      <c r="O22" s="120">
        <f>IF(H22&lt;I22,0,H22-I22)</f>
        <v>0</v>
      </c>
      <c r="P22" s="120">
        <v>0</v>
      </c>
      <c r="Q22" s="120">
        <f t="shared" si="6"/>
        <v>-1062.8586075652872</v>
      </c>
      <c r="R22" s="120">
        <f>'Analysis (A)'!Q22+'Analysis (Nothing)'!D9</f>
        <v>92.491835780971314</v>
      </c>
      <c r="S22" s="120">
        <f t="shared" si="9"/>
        <v>0</v>
      </c>
      <c r="T22" s="120">
        <f>U21*Configurations!$G$6</f>
        <v>254.64497624999998</v>
      </c>
      <c r="U22" s="120">
        <f t="shared" si="7"/>
        <v>594.17161124999996</v>
      </c>
      <c r="V22" s="120">
        <f t="shared" si="8"/>
        <v>0</v>
      </c>
      <c r="W22" s="120">
        <f>V22*Constants!$D$23</f>
        <v>0</v>
      </c>
      <c r="X22" s="120">
        <f t="shared" si="5"/>
        <v>92.491835780971314</v>
      </c>
      <c r="Y22" s="121">
        <f>X22*(1+Constants!$D$20)^-F22</f>
        <v>85.448159431045838</v>
      </c>
      <c r="AA22" s="122"/>
      <c r="AC22" s="122"/>
      <c r="AD22" s="102"/>
    </row>
    <row r="23" spans="2:30" x14ac:dyDescent="0.3">
      <c r="F23" s="103">
        <v>5</v>
      </c>
      <c r="G23" s="110">
        <f>G22*(1-Constants!$D$11)</f>
        <v>0.97524875312187509</v>
      </c>
      <c r="H23" s="105">
        <f>$C$17*(G23-Constants!$N$16)</f>
        <v>691.97625020057535</v>
      </c>
      <c r="I23" s="119">
        <f>Consumption!$C$2-'Analysis (A)'!H23</f>
        <v>7608.0237497994249</v>
      </c>
      <c r="J23" s="120">
        <f>I23*'Grid Power'!K22</f>
        <v>1107.4786174836258</v>
      </c>
      <c r="K23" s="120">
        <v>0</v>
      </c>
      <c r="L23" s="107">
        <f>L22*(1+Constants!$D$20)</f>
        <v>4.4163232128000001</v>
      </c>
      <c r="M23" s="106">
        <v>0</v>
      </c>
      <c r="N23" s="120">
        <v>0</v>
      </c>
      <c r="O23" s="120">
        <v>0</v>
      </c>
      <c r="P23" s="120">
        <v>0</v>
      </c>
      <c r="Q23" s="120">
        <f t="shared" si="6"/>
        <v>-1111.8949406964259</v>
      </c>
      <c r="R23" s="120">
        <f>'Analysis (A)'!Q23+'Analysis (Nothing)'!D10</f>
        <v>96.31853583236807</v>
      </c>
      <c r="S23" s="120">
        <f>IF(L23&lt;&gt;0,L23/2,IF(L22&lt;&gt;0,L22/2,0))</f>
        <v>2.2081616064</v>
      </c>
      <c r="T23" s="120">
        <f>U22*Configurations!$G$6</f>
        <v>178.25148337499999</v>
      </c>
      <c r="U23" s="120">
        <f t="shared" si="7"/>
        <v>418.12828948139997</v>
      </c>
      <c r="V23" s="120">
        <f t="shared" si="8"/>
        <v>0</v>
      </c>
      <c r="W23" s="120">
        <f>V23*Constants!$D$23</f>
        <v>0</v>
      </c>
      <c r="X23" s="120">
        <f t="shared" si="5"/>
        <v>96.31853583236807</v>
      </c>
      <c r="Y23" s="121">
        <f>X23*(1+Constants!$D$20)^-F23</f>
        <v>87.238665461082505</v>
      </c>
      <c r="AA23" s="122"/>
      <c r="AC23" s="122"/>
      <c r="AD23" s="102"/>
    </row>
    <row r="24" spans="2:30" x14ac:dyDescent="0.3">
      <c r="F24" s="103">
        <v>6</v>
      </c>
      <c r="G24" s="110">
        <f>G23*(1-Constants!$D$11)</f>
        <v>0.97037250935626573</v>
      </c>
      <c r="H24" s="105">
        <f>$C$17*(G24-Constants!$N$16)</f>
        <v>688.44392957208686</v>
      </c>
      <c r="I24" s="119">
        <f>Consumption!$C$2-'Analysis (A)'!H24</f>
        <v>7611.5560704279133</v>
      </c>
      <c r="J24" s="120">
        <f>I24*'Grid Power'!K23</f>
        <v>1158.8210037539161</v>
      </c>
      <c r="K24" s="120">
        <v>0</v>
      </c>
      <c r="L24" s="107">
        <f>L23*(1+Constants!$D$20)</f>
        <v>4.5046496770560003</v>
      </c>
      <c r="M24" s="106">
        <v>0</v>
      </c>
      <c r="N24" s="120">
        <v>0</v>
      </c>
      <c r="O24" s="120">
        <f t="shared" ref="O24:O37" si="10">IF(H24&lt;I24,0,H24-I24)</f>
        <v>0</v>
      </c>
      <c r="P24" s="120">
        <v>0</v>
      </c>
      <c r="Q24" s="120">
        <f t="shared" si="6"/>
        <v>-1163.3256534309721</v>
      </c>
      <c r="R24" s="120">
        <f>'Analysis (A)'!Q24+'Analysis (Nothing)'!D11</f>
        <v>100.31355450524779</v>
      </c>
      <c r="S24" s="120">
        <f t="shared" ref="S24:S38" si="11">IF(L24&lt;&gt;0,L24/2,IF(L23&lt;&gt;0,L23/2,0))</f>
        <v>2.2523248385280001</v>
      </c>
      <c r="T24" s="120">
        <f>U23*Configurations!$G$6</f>
        <v>125.43848684441998</v>
      </c>
      <c r="U24" s="120">
        <f t="shared" si="7"/>
        <v>294.94212747550802</v>
      </c>
      <c r="V24" s="120">
        <f t="shared" si="8"/>
        <v>0</v>
      </c>
      <c r="W24" s="120">
        <f>V24*Constants!$D$23</f>
        <v>0</v>
      </c>
      <c r="X24" s="120">
        <f t="shared" si="5"/>
        <v>100.31355450524779</v>
      </c>
      <c r="Y24" s="121">
        <f>X24*(1+Constants!$D$20)^-F24</f>
        <v>89.075565646034789</v>
      </c>
    </row>
    <row r="25" spans="2:30" x14ac:dyDescent="0.3">
      <c r="F25" s="103">
        <v>7</v>
      </c>
      <c r="G25" s="110">
        <f>G24*(1-Constants!$D$11)</f>
        <v>0.96552064680948435</v>
      </c>
      <c r="H25" s="105">
        <f>$C$17*(G25-Constants!$N$16)</f>
        <v>684.92927054674078</v>
      </c>
      <c r="I25" s="119">
        <f>Consumption!$C$2-'Analysis (A)'!H25</f>
        <v>7615.0707294532594</v>
      </c>
      <c r="J25" s="120">
        <f>I25*'Grid Power'!K24</f>
        <v>1212.6761888990497</v>
      </c>
      <c r="K25" s="120">
        <v>0</v>
      </c>
      <c r="L25" s="107">
        <f>L24*(1+Constants!$D$20)</f>
        <v>4.5947426705971202</v>
      </c>
      <c r="M25" s="106">
        <v>0</v>
      </c>
      <c r="N25" s="120">
        <v>0</v>
      </c>
      <c r="O25" s="120">
        <f t="shared" si="10"/>
        <v>0</v>
      </c>
      <c r="P25" s="120">
        <v>0</v>
      </c>
      <c r="Q25" s="120">
        <f t="shared" si="6"/>
        <v>-1217.2709315696468</v>
      </c>
      <c r="R25" s="120">
        <f>'Analysis (A)'!Q25+'Analysis (Nothing)'!D12</f>
        <v>104.48447064607603</v>
      </c>
      <c r="S25" s="120">
        <f t="shared" si="11"/>
        <v>2.2973713352985601</v>
      </c>
      <c r="T25" s="120">
        <f>U24*Configurations!$G$6</f>
        <v>88.482638242652399</v>
      </c>
      <c r="U25" s="120">
        <f t="shared" si="7"/>
        <v>208.7568605681542</v>
      </c>
      <c r="V25" s="120">
        <f t="shared" si="8"/>
        <v>16.001832403423634</v>
      </c>
      <c r="W25" s="120">
        <f>V25*Constants!$D$23</f>
        <v>1.6001832403423635</v>
      </c>
      <c r="X25" s="120">
        <f t="shared" si="5"/>
        <v>102.88428740573367</v>
      </c>
      <c r="Y25" s="121">
        <f>X25*(1+Constants!$D$20)^-F25</f>
        <v>89.566963620500758</v>
      </c>
    </row>
    <row r="26" spans="2:30" x14ac:dyDescent="0.3">
      <c r="F26" s="103">
        <v>8</v>
      </c>
      <c r="G26" s="110">
        <f>G25*(1-Constants!$D$11)</f>
        <v>0.96069304357543694</v>
      </c>
      <c r="H26" s="105">
        <f>$C$17*(G26-Constants!$N$16)</f>
        <v>681.4321848165215</v>
      </c>
      <c r="I26" s="119">
        <f>Consumption!$C$2-'Analysis (A)'!H26</f>
        <v>7618.5678151834782</v>
      </c>
      <c r="J26" s="120">
        <f>I26*'Grid Power'!K25</f>
        <v>1269.1704308164997</v>
      </c>
      <c r="K26" s="120">
        <v>0</v>
      </c>
      <c r="L26" s="107">
        <f>L25*(1+Constants!$D$20)</f>
        <v>4.686637524009063</v>
      </c>
      <c r="M26" s="106">
        <v>0</v>
      </c>
      <c r="N26" s="120">
        <v>0</v>
      </c>
      <c r="O26" s="120">
        <f t="shared" si="10"/>
        <v>0</v>
      </c>
      <c r="P26" s="120">
        <v>0</v>
      </c>
      <c r="Q26" s="120">
        <f t="shared" si="6"/>
        <v>-1273.8570683405087</v>
      </c>
      <c r="R26" s="120">
        <f>'Analysis (A)'!Q26+'Analysis (Nothing)'!D13</f>
        <v>108.83920714581609</v>
      </c>
      <c r="S26" s="120">
        <f t="shared" si="11"/>
        <v>2.3433187620045315</v>
      </c>
      <c r="T26" s="120">
        <f>U25*Configurations!$G$6</f>
        <v>62.627058170446254</v>
      </c>
      <c r="U26" s="120">
        <f t="shared" si="7"/>
        <v>148.47312115971249</v>
      </c>
      <c r="V26" s="120">
        <f t="shared" si="8"/>
        <v>46.212148975369836</v>
      </c>
      <c r="W26" s="120">
        <f>V26*Constants!$D$23</f>
        <v>4.6212148975369836</v>
      </c>
      <c r="X26" s="120">
        <f t="shared" si="5"/>
        <v>104.2179922482791</v>
      </c>
      <c r="Y26" s="121">
        <f>X26*(1+Constants!$D$20)^-F26</f>
        <v>88.949052888671901</v>
      </c>
      <c r="Z26" s="90"/>
    </row>
    <row r="27" spans="2:30" x14ac:dyDescent="0.3">
      <c r="F27" s="103">
        <v>9</v>
      </c>
      <c r="G27" s="110">
        <f>G26*(1-Constants!$D$11)</f>
        <v>0.95588957835755972</v>
      </c>
      <c r="H27" s="105">
        <f>$C$17*(G27-Constants!$N$16)</f>
        <v>677.95258451495329</v>
      </c>
      <c r="I27" s="105">
        <f>Consumption!$C$2-'Analysis (A)'!H27</f>
        <v>7622.0474154850472</v>
      </c>
      <c r="J27" s="120">
        <f>I27*'Grid Power'!K26</f>
        <v>1328.436406072344</v>
      </c>
      <c r="K27" s="120">
        <v>0</v>
      </c>
      <c r="L27" s="107">
        <f>L26*(1+Constants!$D$20)</f>
        <v>4.7803702744892442</v>
      </c>
      <c r="M27" s="106">
        <v>0</v>
      </c>
      <c r="N27" s="120">
        <v>0</v>
      </c>
      <c r="O27" s="120">
        <f t="shared" si="10"/>
        <v>0</v>
      </c>
      <c r="P27" s="120">
        <v>0</v>
      </c>
      <c r="Q27" s="120">
        <f t="shared" si="6"/>
        <v>-1333.2167763468333</v>
      </c>
      <c r="R27" s="120">
        <f>'Analysis (A)'!Q27+'Analysis (Nothing)'!D14</f>
        <v>113.38604659756174</v>
      </c>
      <c r="S27" s="120">
        <f t="shared" si="11"/>
        <v>2.3901851372446221</v>
      </c>
      <c r="T27" s="120">
        <f>U26*Configurations!$G$6</f>
        <v>44.541936347913747</v>
      </c>
      <c r="U27" s="120">
        <f t="shared" si="7"/>
        <v>106.32136994904337</v>
      </c>
      <c r="V27" s="120">
        <f t="shared" si="8"/>
        <v>68.844110249647997</v>
      </c>
      <c r="W27" s="120">
        <f>V27*Constants!$D$23</f>
        <v>6.8844110249648001</v>
      </c>
      <c r="X27" s="120">
        <f t="shared" si="5"/>
        <v>106.50163557259694</v>
      </c>
      <c r="Y27" s="121">
        <f>X27*(1+Constants!$D$20)^-F27</f>
        <v>89.115804389421328</v>
      </c>
    </row>
    <row r="28" spans="2:30" x14ac:dyDescent="0.3">
      <c r="F28" s="103">
        <v>10</v>
      </c>
      <c r="G28" s="110">
        <f>G27*(1-Constants!$D$11)</f>
        <v>0.95111013046577186</v>
      </c>
      <c r="H28" s="105">
        <f>$C$17*(G28-Constants!$N$16)</f>
        <v>674.49038221489286</v>
      </c>
      <c r="I28" s="105">
        <f>Consumption!$C$2-'Analysis (A)'!H28</f>
        <v>7625.5096177851074</v>
      </c>
      <c r="J28" s="120">
        <f>I28*'Grid Power'!K27</f>
        <v>1390.6135377986946</v>
      </c>
      <c r="K28" s="120">
        <v>0</v>
      </c>
      <c r="L28" s="107">
        <f>L27*(1+Constants!$D$20)</f>
        <v>4.8759776799790293</v>
      </c>
      <c r="M28" s="120">
        <f>IF(MOD(F28,Configurations!$I$7)=0,Configurations!$C$16,0)</f>
        <v>942.375</v>
      </c>
      <c r="N28" s="120">
        <v>0</v>
      </c>
      <c r="O28" s="120">
        <f t="shared" si="10"/>
        <v>0</v>
      </c>
      <c r="P28" s="120">
        <v>0</v>
      </c>
      <c r="Q28" s="120">
        <f t="shared" si="6"/>
        <v>-2337.8645154786736</v>
      </c>
      <c r="R28" s="120">
        <f>'Analysis (A)'!Q28+'Analysis (Nothing)'!D15</f>
        <v>-824.24135233286529</v>
      </c>
      <c r="S28" s="120">
        <f>IF(M28&lt;&gt;0,M28/2,IF(L27&lt;&gt;0,L27/2,0))</f>
        <v>471.1875</v>
      </c>
      <c r="T28" s="120">
        <f>U27*Configurations!$G$6</f>
        <v>31.896410984713011</v>
      </c>
      <c r="U28" s="120">
        <f t="shared" si="7"/>
        <v>545.61245896433036</v>
      </c>
      <c r="V28" s="120">
        <f t="shared" si="8"/>
        <v>0</v>
      </c>
      <c r="W28" s="120">
        <f>V28*Constants!$D$23</f>
        <v>0</v>
      </c>
      <c r="X28" s="120">
        <f t="shared" si="5"/>
        <v>-824.24135233286529</v>
      </c>
      <c r="Y28" s="121">
        <f>X28*(1+Constants!$D$20)^-F28</f>
        <v>-676.16499207306492</v>
      </c>
    </row>
    <row r="29" spans="2:30" x14ac:dyDescent="0.3">
      <c r="F29" s="103">
        <v>11</v>
      </c>
      <c r="G29" s="110">
        <f>G28*(1-Constants!$D$11)</f>
        <v>0.94635457981344295</v>
      </c>
      <c r="H29" s="105">
        <f>$C$17*(G29-Constants!$N$16)</f>
        <v>671.04549092633272</v>
      </c>
      <c r="I29" s="105">
        <f>Consumption!$C$2-'Analysis (A)'!H29</f>
        <v>7628.9545090736674</v>
      </c>
      <c r="J29" s="120">
        <f>I29*'Grid Power'!K28</f>
        <v>1455.8483403719013</v>
      </c>
      <c r="K29" s="120">
        <v>0</v>
      </c>
      <c r="L29" s="107">
        <f>L28*(1+Constants!$D$20)</f>
        <v>4.9734972335786098</v>
      </c>
      <c r="M29" s="120">
        <v>0</v>
      </c>
      <c r="N29" s="120">
        <v>0</v>
      </c>
      <c r="O29" s="120">
        <f t="shared" si="10"/>
        <v>0</v>
      </c>
      <c r="P29" s="120">
        <v>0</v>
      </c>
      <c r="Q29" s="120">
        <f t="shared" si="6"/>
        <v>-1460.8218376054799</v>
      </c>
      <c r="R29" s="120">
        <f>'Analysis (A)'!Q29+'Analysis (Nothing)'!D16</f>
        <v>123.09106220910121</v>
      </c>
      <c r="S29" s="120">
        <f>IF(L29&lt;&gt;0,L29/2,IF(M28&lt;&gt;0,M28/2,0))</f>
        <v>2.4867486167893049</v>
      </c>
      <c r="T29" s="120">
        <f>U28*Configurations!$G$6</f>
        <v>163.68373768929911</v>
      </c>
      <c r="U29" s="120">
        <f t="shared" si="7"/>
        <v>384.41546989182058</v>
      </c>
      <c r="V29" s="120">
        <f>IF(R29&lt;0, 0,IF(R29-T29&lt;0,0,R29-T29))</f>
        <v>0</v>
      </c>
      <c r="W29" s="120">
        <f>V29*Constants!$D$23</f>
        <v>0</v>
      </c>
      <c r="X29" s="120">
        <f t="shared" si="5"/>
        <v>123.09106220910121</v>
      </c>
      <c r="Y29" s="121">
        <f>X29*(1+Constants!$D$20)^-F29</f>
        <v>98.997591777512923</v>
      </c>
    </row>
    <row r="30" spans="2:30" x14ac:dyDescent="0.3">
      <c r="F30" s="103">
        <v>12</v>
      </c>
      <c r="G30" s="110">
        <f>G29*(1-Constants!$D$11)</f>
        <v>0.94162280691437572</v>
      </c>
      <c r="H30" s="105">
        <f>$C$17*(G30-Constants!$N$16)</f>
        <v>667.61782409421539</v>
      </c>
      <c r="I30" s="105">
        <f>Consumption!$C$2-'Analysis (A)'!H30</f>
        <v>7632.3821759057846</v>
      </c>
      <c r="J30" s="120">
        <f>I30*'Grid Power'!K29</f>
        <v>1524.2947817307256</v>
      </c>
      <c r="K30" s="120">
        <v>0</v>
      </c>
      <c r="L30" s="107">
        <f>L29*(1+Constants!$D$20)</f>
        <v>5.072967178250182</v>
      </c>
      <c r="M30" s="120">
        <v>0</v>
      </c>
      <c r="N30" s="120">
        <v>0</v>
      </c>
      <c r="O30" s="120">
        <f t="shared" si="10"/>
        <v>0</v>
      </c>
      <c r="P30" s="120">
        <v>0</v>
      </c>
      <c r="Q30" s="120">
        <f t="shared" si="6"/>
        <v>-1529.3677489089757</v>
      </c>
      <c r="R30" s="120">
        <f>'Analysis (A)'!Q30+'Analysis (Nothing)'!D17</f>
        <v>128.26775316214957</v>
      </c>
      <c r="S30" s="120">
        <f t="shared" si="11"/>
        <v>2.536483589125091</v>
      </c>
      <c r="T30" s="120">
        <f>U29*Configurations!$G$6</f>
        <v>115.32464096754617</v>
      </c>
      <c r="U30" s="120">
        <f t="shared" si="7"/>
        <v>271.62731251339949</v>
      </c>
      <c r="V30" s="120">
        <f t="shared" ref="V30:V38" si="12">IF(R30&lt;0, 0,IF(R30-T30&lt;0,0,R30-T30))</f>
        <v>12.943112194603401</v>
      </c>
      <c r="W30" s="120">
        <f>V30*Constants!$D$23</f>
        <v>1.2943112194603401</v>
      </c>
      <c r="X30" s="120">
        <f t="shared" si="5"/>
        <v>126.97344194268923</v>
      </c>
      <c r="Y30" s="121">
        <f>X30*(1+Constants!$D$20)^-F30</f>
        <v>100.11769245192413</v>
      </c>
    </row>
    <row r="31" spans="2:30" x14ac:dyDescent="0.3">
      <c r="F31" s="103">
        <v>13</v>
      </c>
      <c r="G31" s="110">
        <f>G30*(1-Constants!$D$11)</f>
        <v>0.93691469287980389</v>
      </c>
      <c r="H31" s="105">
        <f>$C$17*(G31-Constants!$N$16)</f>
        <v>664.20729559625875</v>
      </c>
      <c r="I31" s="105">
        <f>Consumption!$C$2-'Analysis (A)'!H31</f>
        <v>7635.7927044037415</v>
      </c>
      <c r="J31" s="120">
        <f>I31*'Grid Power'!K30</f>
        <v>1596.1146642376877</v>
      </c>
      <c r="K31" s="120">
        <v>0</v>
      </c>
      <c r="L31" s="107">
        <f>L30*(1+Constants!$D$20)</f>
        <v>5.1744265218151853</v>
      </c>
      <c r="M31" s="120">
        <v>0</v>
      </c>
      <c r="N31" s="120">
        <v>0</v>
      </c>
      <c r="O31" s="120">
        <f t="shared" si="10"/>
        <v>0</v>
      </c>
      <c r="P31" s="120">
        <v>0</v>
      </c>
      <c r="Q31" s="120">
        <f t="shared" si="6"/>
        <v>-1601.2890907595029</v>
      </c>
      <c r="R31" s="120">
        <f>'Analysis (A)'!Q31+'Analysis (Nothing)'!D18</f>
        <v>133.6736132593021</v>
      </c>
      <c r="S31" s="120">
        <f t="shared" si="11"/>
        <v>2.5872132609075926</v>
      </c>
      <c r="T31" s="120">
        <f>U30*Configurations!$G$6</f>
        <v>81.488193754019846</v>
      </c>
      <c r="U31" s="120">
        <f t="shared" si="7"/>
        <v>192.72633202028726</v>
      </c>
      <c r="V31" s="120">
        <f t="shared" si="12"/>
        <v>52.185419505282255</v>
      </c>
      <c r="W31" s="120">
        <f>V31*Constants!$D$23</f>
        <v>5.218541950528226</v>
      </c>
      <c r="X31" s="120">
        <f t="shared" si="5"/>
        <v>128.45507130877388</v>
      </c>
      <c r="Y31" s="121">
        <f>X31*(1+Constants!$D$20)^-F31</f>
        <v>99.299948133160044</v>
      </c>
    </row>
    <row r="32" spans="2:30" x14ac:dyDescent="0.3">
      <c r="F32" s="103">
        <v>14</v>
      </c>
      <c r="G32" s="110">
        <f>G31*(1-Constants!$D$11)</f>
        <v>0.9322301194154049</v>
      </c>
      <c r="H32" s="105">
        <f>$C$17*(G32-Constants!$N$16)</f>
        <v>660.81381974079193</v>
      </c>
      <c r="I32" s="105">
        <f>Consumption!$C$2-'Analysis (A)'!H32</f>
        <v>7639.1861802592084</v>
      </c>
      <c r="J32" s="120">
        <f>I32*'Grid Power'!K31</f>
        <v>1671.4780250330296</v>
      </c>
      <c r="K32" s="120">
        <v>0</v>
      </c>
      <c r="L32" s="107">
        <f>L31*(1+Constants!$D$20)</f>
        <v>5.2779150522514895</v>
      </c>
      <c r="M32" s="120">
        <v>0</v>
      </c>
      <c r="N32" s="120">
        <v>0</v>
      </c>
      <c r="O32" s="120">
        <f t="shared" si="10"/>
        <v>0</v>
      </c>
      <c r="P32" s="120">
        <v>0</v>
      </c>
      <c r="Q32" s="120">
        <f t="shared" si="6"/>
        <v>-1676.7559400852811</v>
      </c>
      <c r="R32" s="120">
        <f>'Analysis (A)'!Q32+'Analysis (Nothing)'!D19</f>
        <v>139.31898459006015</v>
      </c>
      <c r="S32" s="120">
        <f t="shared" si="11"/>
        <v>2.6389575261257447</v>
      </c>
      <c r="T32" s="120">
        <f>U31*Configurations!$G$6</f>
        <v>57.817899606086172</v>
      </c>
      <c r="U32" s="120">
        <f t="shared" si="7"/>
        <v>137.54738994032684</v>
      </c>
      <c r="V32" s="120">
        <f t="shared" si="12"/>
        <v>81.501084983973982</v>
      </c>
      <c r="W32" s="120">
        <f>V32*Constants!$D$23</f>
        <v>8.1501084983973993</v>
      </c>
      <c r="X32" s="120">
        <f t="shared" si="5"/>
        <v>131.16887609166275</v>
      </c>
      <c r="Y32" s="121">
        <f>X32*(1+Constants!$D$20)^-F32</f>
        <v>99.409615193187207</v>
      </c>
    </row>
    <row r="33" spans="6:29" x14ac:dyDescent="0.3">
      <c r="F33" s="103">
        <v>15</v>
      </c>
      <c r="G33" s="110">
        <f>G32*(1-Constants!$D$11)</f>
        <v>0.92756896881832784</v>
      </c>
      <c r="H33" s="105">
        <f>$C$17*(G33-Constants!$N$16)</f>
        <v>657.43731126460227</v>
      </c>
      <c r="I33" s="105">
        <f>Consumption!$C$2-'Analysis (A)'!H33</f>
        <v>7642.5626887353974</v>
      </c>
      <c r="J33" s="120">
        <f>I33*'Grid Power'!K32</f>
        <v>1750.5635568793402</v>
      </c>
      <c r="K33" s="120">
        <v>0</v>
      </c>
      <c r="L33" s="107">
        <f>L32*(1+Constants!$D$20)</f>
        <v>5.3834733532965195</v>
      </c>
      <c r="M33" s="120">
        <v>0</v>
      </c>
      <c r="N33" s="120">
        <v>0</v>
      </c>
      <c r="O33" s="120">
        <f t="shared" si="10"/>
        <v>0</v>
      </c>
      <c r="P33" s="120">
        <v>0</v>
      </c>
      <c r="Q33" s="120">
        <f t="shared" si="6"/>
        <v>-1755.9470302326367</v>
      </c>
      <c r="R33" s="120">
        <f>'Analysis (A)'!Q33+'Analysis (Nothing)'!D20</f>
        <v>145.21467905325926</v>
      </c>
      <c r="S33" s="120">
        <f t="shared" si="11"/>
        <v>2.6917366766482598</v>
      </c>
      <c r="T33" s="120">
        <f>U32*Configurations!$G$6</f>
        <v>41.264216982098048</v>
      </c>
      <c r="U33" s="120">
        <f t="shared" si="7"/>
        <v>98.974909634877037</v>
      </c>
      <c r="V33" s="120">
        <f t="shared" si="12"/>
        <v>103.95046207116121</v>
      </c>
      <c r="W33" s="120">
        <f>V33*Constants!$D$23</f>
        <v>10.395046207116122</v>
      </c>
      <c r="X33" s="120">
        <f t="shared" si="5"/>
        <v>134.81963284614315</v>
      </c>
      <c r="Y33" s="121">
        <f>X33*(1+Constants!$D$20)^-F33</f>
        <v>100.17297309632835</v>
      </c>
    </row>
    <row r="34" spans="6:29" x14ac:dyDescent="0.3">
      <c r="F34" s="103">
        <v>16</v>
      </c>
      <c r="G34" s="110">
        <f>G33*(1-Constants!$D$11)</f>
        <v>0.92293112397423616</v>
      </c>
      <c r="H34" s="105">
        <f>$C$17*(G34-Constants!$N$16)</f>
        <v>654.07768533079366</v>
      </c>
      <c r="I34" s="105">
        <f>Consumption!$C$2-'Analysis (A)'!H34</f>
        <v>7645.9223146692066</v>
      </c>
      <c r="J34" s="120">
        <f>I34*'Grid Power'!K33</f>
        <v>1833.5590505459879</v>
      </c>
      <c r="K34" s="120">
        <v>0</v>
      </c>
      <c r="L34" s="107">
        <f>L33*(1+Constants!$D$20)</f>
        <v>5.4911428203624499</v>
      </c>
      <c r="M34" s="120">
        <v>0</v>
      </c>
      <c r="N34" s="120">
        <v>0</v>
      </c>
      <c r="O34" s="120">
        <f t="shared" si="10"/>
        <v>0</v>
      </c>
      <c r="P34" s="120">
        <v>0</v>
      </c>
      <c r="Q34" s="120">
        <f t="shared" si="6"/>
        <v>-1839.0501933663504</v>
      </c>
      <c r="R34" s="120">
        <f>'Analysis (A)'!Q34+'Analysis (Nothing)'!D21</f>
        <v>151.37199974118448</v>
      </c>
      <c r="S34" s="120">
        <f t="shared" si="11"/>
        <v>2.745571410181225</v>
      </c>
      <c r="T34" s="120">
        <f>U33*Configurations!$G$6</f>
        <v>29.692472890463108</v>
      </c>
      <c r="U34" s="120">
        <f t="shared" si="7"/>
        <v>72.028008154595156</v>
      </c>
      <c r="V34" s="120">
        <f t="shared" si="12"/>
        <v>121.67952685072137</v>
      </c>
      <c r="W34" s="120">
        <f>V34*Constants!$D$23</f>
        <v>12.167952685072137</v>
      </c>
      <c r="X34" s="120">
        <f t="shared" si="5"/>
        <v>139.20404705611236</v>
      </c>
      <c r="Y34" s="121">
        <f>X34*(1+Constants!$D$20)^-F34</f>
        <v>101.40260533010435</v>
      </c>
    </row>
    <row r="35" spans="6:29" x14ac:dyDescent="0.3">
      <c r="F35" s="103">
        <v>17</v>
      </c>
      <c r="G35" s="110">
        <f>G34*(1-Constants!$D$11)</f>
        <v>0.91831646835436498</v>
      </c>
      <c r="H35" s="105">
        <f>$C$17*(G35-Constants!$N$16)</f>
        <v>650.73485752665408</v>
      </c>
      <c r="I35" s="105">
        <f>Consumption!$C$2-'Analysis (A)'!H35</f>
        <v>7649.2651424733458</v>
      </c>
      <c r="J35" s="120">
        <f>I35*'Grid Power'!K34</f>
        <v>1920.6618598362277</v>
      </c>
      <c r="K35" s="120">
        <v>0</v>
      </c>
      <c r="L35" s="107">
        <f>L34*(1+Constants!$D$20)</f>
        <v>5.6009656767696994</v>
      </c>
      <c r="M35" s="120">
        <v>0</v>
      </c>
      <c r="N35" s="120">
        <v>0</v>
      </c>
      <c r="O35" s="120">
        <f t="shared" si="10"/>
        <v>0</v>
      </c>
      <c r="P35" s="120">
        <v>0</v>
      </c>
      <c r="Q35" s="120">
        <f t="shared" si="6"/>
        <v>-1926.2628255129973</v>
      </c>
      <c r="R35" s="120">
        <f>'Analysis (A)'!Q35+'Analysis (Nothing)'!D22</f>
        <v>157.80276329733783</v>
      </c>
      <c r="S35" s="120">
        <f t="shared" si="11"/>
        <v>2.8004828383848497</v>
      </c>
      <c r="T35" s="120">
        <f>U34*Configurations!$G$6</f>
        <v>21.608402446378545</v>
      </c>
      <c r="U35" s="120">
        <f t="shared" si="7"/>
        <v>53.22008854660146</v>
      </c>
      <c r="V35" s="120">
        <f t="shared" si="12"/>
        <v>136.1943608509593</v>
      </c>
      <c r="W35" s="120">
        <f>V35*Constants!$D$23</f>
        <v>13.619436085095931</v>
      </c>
      <c r="X35" s="120">
        <f t="shared" si="5"/>
        <v>144.18332721224189</v>
      </c>
      <c r="Y35" s="121">
        <f>X35*(1+Constants!$D$20)^-F35</f>
        <v>102.97033442661497</v>
      </c>
    </row>
    <row r="36" spans="6:29" x14ac:dyDescent="0.3">
      <c r="F36" s="103">
        <v>18</v>
      </c>
      <c r="G36" s="110">
        <f>G35*(1-Constants!$D$11)</f>
        <v>0.91372488601259316</v>
      </c>
      <c r="H36" s="105">
        <f>$C$17*(G36-Constants!$N$16)</f>
        <v>647.40874386153519</v>
      </c>
      <c r="I36" s="105">
        <f>Consumption!$C$2-'Analysis (A)'!H36</f>
        <v>7652.5912561384648</v>
      </c>
      <c r="J36" s="120">
        <f>I36*'Grid Power'!K35</f>
        <v>2012.0793904163002</v>
      </c>
      <c r="K36" s="120">
        <v>0</v>
      </c>
      <c r="L36" s="107">
        <f>L35*(1+Constants!$D$20)</f>
        <v>5.7129849903050935</v>
      </c>
      <c r="M36" s="120">
        <v>0</v>
      </c>
      <c r="N36" s="120">
        <v>0</v>
      </c>
      <c r="O36" s="120">
        <f t="shared" si="10"/>
        <v>0</v>
      </c>
      <c r="P36" s="120">
        <v>0</v>
      </c>
      <c r="Q36" s="120">
        <f t="shared" si="6"/>
        <v>-2017.7923754066053</v>
      </c>
      <c r="R36" s="120">
        <f>'Analysis (A)'!Q36+'Analysis (Nothing)'!D23</f>
        <v>164.51932329216766</v>
      </c>
      <c r="S36" s="120">
        <f t="shared" si="11"/>
        <v>2.8564924951525468</v>
      </c>
      <c r="T36" s="120">
        <f>U35*Configurations!$G$6</f>
        <v>15.966026563980437</v>
      </c>
      <c r="U36" s="120">
        <f t="shared" si="7"/>
        <v>40.110554477773569</v>
      </c>
      <c r="V36" s="120">
        <f t="shared" si="12"/>
        <v>148.55329672818721</v>
      </c>
      <c r="W36" s="120">
        <f>V36*Constants!$D$23</f>
        <v>14.855329672818721</v>
      </c>
      <c r="X36" s="120">
        <f t="shared" si="5"/>
        <v>149.66399361934893</v>
      </c>
      <c r="Y36" s="121">
        <f>X36*(1+Constants!$D$20)^-F36</f>
        <v>104.78864822738238</v>
      </c>
    </row>
    <row r="37" spans="6:29" x14ac:dyDescent="0.3">
      <c r="F37" s="103">
        <v>19</v>
      </c>
      <c r="G37" s="110">
        <f>G36*(1-Constants!$D$11)</f>
        <v>0.90915626158253016</v>
      </c>
      <c r="H37" s="105">
        <f>$C$17*(G37-Constants!$N$16)</f>
        <v>644.09926076474187</v>
      </c>
      <c r="I37" s="105">
        <f>Consumption!$C$2-'Analysis (A)'!H37</f>
        <v>7655.9007392352578</v>
      </c>
      <c r="J37" s="120">
        <f>I37*'Grid Power'!K36</f>
        <v>2108.0296136651959</v>
      </c>
      <c r="K37" s="120">
        <v>0</v>
      </c>
      <c r="L37" s="107">
        <f>L36*(1+Constants!$D$20)</f>
        <v>5.8272446901111952</v>
      </c>
      <c r="M37" s="120">
        <v>0</v>
      </c>
      <c r="N37" s="120">
        <v>0</v>
      </c>
      <c r="O37" s="120">
        <f t="shared" si="10"/>
        <v>0</v>
      </c>
      <c r="P37" s="120">
        <v>0</v>
      </c>
      <c r="Q37" s="120">
        <f t="shared" si="6"/>
        <v>-2113.8568583553069</v>
      </c>
      <c r="R37" s="120">
        <f>'Analysis (A)'!Q37+'Analysis (Nothing)'!D24</f>
        <v>171.5345946631146</v>
      </c>
      <c r="S37" s="120">
        <f t="shared" si="11"/>
        <v>2.9136223450555976</v>
      </c>
      <c r="T37" s="120">
        <f>U36*Configurations!$G$6</f>
        <v>12.03316634333207</v>
      </c>
      <c r="U37" s="120">
        <f t="shared" si="7"/>
        <v>30.991010479497099</v>
      </c>
      <c r="V37" s="120">
        <f t="shared" si="12"/>
        <v>159.50142831978252</v>
      </c>
      <c r="W37" s="120">
        <f>V37*Constants!$D$23</f>
        <v>15.950142831978253</v>
      </c>
      <c r="X37" s="120">
        <f t="shared" si="5"/>
        <v>155.58445183113636</v>
      </c>
      <c r="Y37" s="121">
        <f>X37*(1+Constants!$D$20)^-F37</f>
        <v>106.79795347887996</v>
      </c>
    </row>
    <row r="38" spans="6:29" x14ac:dyDescent="0.3">
      <c r="F38" s="111">
        <v>20</v>
      </c>
      <c r="G38" s="112">
        <f>G37*(1-Constants!$D$11)</f>
        <v>0.90461048027461755</v>
      </c>
      <c r="H38" s="113">
        <f>$C$17*(G38-Constants!$N$16)</f>
        <v>640.80632508343251</v>
      </c>
      <c r="I38" s="113">
        <f>Consumption!$C$2-'Analysis (A)'!H38</f>
        <v>7659.193674916567</v>
      </c>
      <c r="J38" s="123">
        <f>I38*'Grid Power'!K37</f>
        <v>2208.7416068261537</v>
      </c>
      <c r="K38" s="123">
        <v>0</v>
      </c>
      <c r="L38" s="115">
        <f>L37*(1+Constants!$D$20)</f>
        <v>5.9437895839134196</v>
      </c>
      <c r="M38" s="123">
        <v>0</v>
      </c>
      <c r="N38" s="123">
        <v>0</v>
      </c>
      <c r="O38" s="115">
        <v>0</v>
      </c>
      <c r="P38" s="123">
        <f>U38</f>
        <v>24.665602127604679</v>
      </c>
      <c r="Q38" s="123">
        <f t="shared" si="6"/>
        <v>-2190.0197942824625</v>
      </c>
      <c r="R38" s="123">
        <f>'Analysis (A)'!Q38+'Analysis (Nothing)'!D25</f>
        <v>203.52768139500176</v>
      </c>
      <c r="S38" s="123">
        <f t="shared" si="11"/>
        <v>2.9718947919567098</v>
      </c>
      <c r="T38" s="123">
        <f>U37*Configurations!$G$6</f>
        <v>9.2973031438491294</v>
      </c>
      <c r="U38" s="123">
        <f t="shared" si="7"/>
        <v>24.665602127604679</v>
      </c>
      <c r="V38" s="123">
        <f t="shared" si="12"/>
        <v>194.23037825115264</v>
      </c>
      <c r="W38" s="123">
        <f>V38*Constants!$D$23</f>
        <v>19.423037825115266</v>
      </c>
      <c r="X38" s="123">
        <f t="shared" si="5"/>
        <v>184.10464356988649</v>
      </c>
      <c r="Y38" s="124">
        <f>X38*(1+Constants!$D$20)^-F38</f>
        <v>123.89714741461033</v>
      </c>
    </row>
    <row r="40" spans="6:29" x14ac:dyDescent="0.3">
      <c r="F40" s="251" t="s">
        <v>203</v>
      </c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AC40" s="118"/>
    </row>
    <row r="41" spans="6:29" x14ac:dyDescent="0.3">
      <c r="F41" s="251" t="s">
        <v>56</v>
      </c>
      <c r="G41" s="251" t="s">
        <v>116</v>
      </c>
      <c r="H41" s="251"/>
      <c r="I41" s="251"/>
      <c r="J41" s="255" t="s">
        <v>6</v>
      </c>
      <c r="K41" s="256"/>
      <c r="L41" s="256"/>
      <c r="M41" s="257"/>
      <c r="N41" s="255" t="s">
        <v>166</v>
      </c>
      <c r="O41" s="256"/>
      <c r="P41" s="257"/>
      <c r="Q41" s="251" t="s">
        <v>176</v>
      </c>
      <c r="R41" s="251"/>
      <c r="S41" s="251"/>
      <c r="T41" s="251"/>
      <c r="U41" s="251"/>
      <c r="V41" s="251"/>
      <c r="W41" s="251"/>
      <c r="X41" s="251" t="s">
        <v>197</v>
      </c>
      <c r="Y41" s="251"/>
      <c r="AA41" s="94" t="s">
        <v>194</v>
      </c>
      <c r="AB41" s="95">
        <f>IRR(X44:X84)</f>
        <v>5.3804013943159035E-2</v>
      </c>
      <c r="AC41" s="118"/>
    </row>
    <row r="42" spans="6:29" x14ac:dyDescent="0.3">
      <c r="F42" s="251"/>
      <c r="G42" s="252" t="s">
        <v>153</v>
      </c>
      <c r="H42" s="96" t="s">
        <v>169</v>
      </c>
      <c r="I42" s="96" t="s">
        <v>170</v>
      </c>
      <c r="J42" s="96" t="s">
        <v>162</v>
      </c>
      <c r="K42" s="96" t="s">
        <v>139</v>
      </c>
      <c r="L42" s="96" t="s">
        <v>164</v>
      </c>
      <c r="M42" s="96" t="s">
        <v>226</v>
      </c>
      <c r="N42" s="96" t="s">
        <v>163</v>
      </c>
      <c r="O42" s="96" t="s">
        <v>165</v>
      </c>
      <c r="P42" s="96" t="s">
        <v>146</v>
      </c>
      <c r="Q42" s="96" t="s">
        <v>174</v>
      </c>
      <c r="R42" s="96" t="s">
        <v>177</v>
      </c>
      <c r="S42" s="96" t="s">
        <v>171</v>
      </c>
      <c r="T42" s="96" t="s">
        <v>8</v>
      </c>
      <c r="U42" s="96" t="s">
        <v>173</v>
      </c>
      <c r="V42" s="96" t="s">
        <v>172</v>
      </c>
      <c r="W42" s="96" t="s">
        <v>175</v>
      </c>
      <c r="X42" s="96" t="s">
        <v>196</v>
      </c>
      <c r="Y42" s="96" t="s">
        <v>196</v>
      </c>
      <c r="AA42" s="94" t="s">
        <v>195</v>
      </c>
      <c r="AB42" s="98">
        <f>IRR(Y44:Y84)</f>
        <v>3.3141190139595489E-2</v>
      </c>
      <c r="AC42" s="118"/>
    </row>
    <row r="43" spans="6:29" x14ac:dyDescent="0.3">
      <c r="F43" s="269"/>
      <c r="G43" s="270"/>
      <c r="H43" s="139" t="s">
        <v>62</v>
      </c>
      <c r="I43" s="139" t="s">
        <v>62</v>
      </c>
      <c r="J43" s="139" t="s">
        <v>59</v>
      </c>
      <c r="K43" s="139" t="s">
        <v>59</v>
      </c>
      <c r="L43" s="139" t="s">
        <v>59</v>
      </c>
      <c r="M43" s="139" t="s">
        <v>59</v>
      </c>
      <c r="N43" s="139" t="s">
        <v>59</v>
      </c>
      <c r="O43" s="139" t="s">
        <v>59</v>
      </c>
      <c r="P43" s="139" t="s">
        <v>59</v>
      </c>
      <c r="Q43" s="139" t="s">
        <v>59</v>
      </c>
      <c r="R43" s="139" t="s">
        <v>59</v>
      </c>
      <c r="S43" s="139" t="s">
        <v>59</v>
      </c>
      <c r="T43" s="139" t="s">
        <v>59</v>
      </c>
      <c r="U43" s="139" t="s">
        <v>59</v>
      </c>
      <c r="V43" s="139" t="s">
        <v>59</v>
      </c>
      <c r="W43" s="139" t="s">
        <v>59</v>
      </c>
      <c r="X43" s="139" t="s">
        <v>59</v>
      </c>
      <c r="Y43" s="271" t="s">
        <v>178</v>
      </c>
      <c r="AA43" s="100" t="s">
        <v>198</v>
      </c>
      <c r="AB43" s="101">
        <f>NPV(Constants!$D$21,'Analysis (A)'!Y45:Y84)+'Analysis (A)'!Y44</f>
        <v>108.50535759707213</v>
      </c>
      <c r="AC43" s="118"/>
    </row>
    <row r="44" spans="6:29" x14ac:dyDescent="0.3">
      <c r="F44" s="160">
        <v>0</v>
      </c>
      <c r="G44" s="161">
        <v>1</v>
      </c>
      <c r="H44" s="162">
        <v>0</v>
      </c>
      <c r="I44" s="162">
        <v>0</v>
      </c>
      <c r="J44" s="163">
        <v>0</v>
      </c>
      <c r="K44" s="163">
        <f>Configurations!$C$18</f>
        <v>2037.9749999999999</v>
      </c>
      <c r="L44" s="164">
        <f>Configurations!$C$24*Constants!$D$63</f>
        <v>4</v>
      </c>
      <c r="M44" s="163">
        <v>0</v>
      </c>
      <c r="N44" s="163">
        <f>Configurations!$C$24*(Incentives!$C$5+Incentives!$C$6)</f>
        <v>360</v>
      </c>
      <c r="O44" s="164">
        <v>0</v>
      </c>
      <c r="P44" s="163">
        <f>IF(H44&lt;I44,0,H44-I44)</f>
        <v>0</v>
      </c>
      <c r="Q44" s="163">
        <f t="shared" ref="Q44:Q53" si="13">N44+P44-L44-K44-J44</f>
        <v>-1681.9749999999999</v>
      </c>
      <c r="R44" s="163">
        <f>'Analysis (A)'!Q44+'Analysis (Nothing)'!D5</f>
        <v>-1681.9749999999999</v>
      </c>
      <c r="S44" s="163">
        <f>$K$7/2</f>
        <v>1018.9875</v>
      </c>
      <c r="T44" s="163">
        <v>0</v>
      </c>
      <c r="U44" s="163">
        <f>S44-T44</f>
        <v>1018.9875</v>
      </c>
      <c r="V44" s="163">
        <f>IF(R44&lt;0, 0,R44-T44)</f>
        <v>0</v>
      </c>
      <c r="W44" s="163">
        <f>V44*Constants!$D$23</f>
        <v>0</v>
      </c>
      <c r="X44" s="163">
        <f t="shared" ref="X44:X84" si="14">R44-W44</f>
        <v>-1681.9749999999999</v>
      </c>
      <c r="Y44" s="276">
        <f>X44*(1+Constants!$D$20)^-F44</f>
        <v>-1681.9749999999999</v>
      </c>
      <c r="AA44" s="94" t="s">
        <v>199</v>
      </c>
      <c r="AB44" s="109">
        <f>PMT(Constants!$D$21,5,-'Analysis (A)'!AB43)</f>
        <v>23.692640852774922</v>
      </c>
      <c r="AC44" s="118"/>
    </row>
    <row r="45" spans="6:29" x14ac:dyDescent="0.3">
      <c r="F45" s="103">
        <v>1</v>
      </c>
      <c r="G45" s="110">
        <f>G44*(1-Constants!$D$11)</f>
        <v>0.995</v>
      </c>
      <c r="H45" s="105">
        <f>$C$17*(G45-Constants!$N$16)</f>
        <v>706.28393048473583</v>
      </c>
      <c r="I45" s="105">
        <f>Consumption!$C$2-'Analysis (A)'!H45</f>
        <v>7593.7160695152643</v>
      </c>
      <c r="J45" s="106">
        <f>I45*'Grid Power'!K18</f>
        <v>924.91950762010799</v>
      </c>
      <c r="K45" s="106">
        <v>0</v>
      </c>
      <c r="L45" s="107">
        <f>L44*(1+Constants!$D$20)</f>
        <v>4.08</v>
      </c>
      <c r="M45" s="106">
        <v>0</v>
      </c>
      <c r="N45" s="106">
        <v>0</v>
      </c>
      <c r="O45" s="107">
        <v>0</v>
      </c>
      <c r="P45" s="106">
        <f>IF(H45&lt;I45,0,H45-I45)</f>
        <v>0</v>
      </c>
      <c r="Q45" s="106">
        <f t="shared" si="13"/>
        <v>-928.99950762010803</v>
      </c>
      <c r="R45" s="106">
        <f>'Analysis (A)'!Q45+'Analysis (Nothing)'!D6</f>
        <v>81.950709605652037</v>
      </c>
      <c r="S45" s="106">
        <f>$K$7/2</f>
        <v>1018.9875</v>
      </c>
      <c r="T45" s="106">
        <f>U44*Configurations!$G$6</f>
        <v>305.69624999999996</v>
      </c>
      <c r="U45" s="106">
        <f t="shared" ref="U45:U84" si="15">U44+S45-T45</f>
        <v>1732.2787499999999</v>
      </c>
      <c r="V45" s="106">
        <f t="shared" ref="V45:V84" si="16">IF(R45&lt;0, 0,IF(R45-T45&lt;0,0,R45-T45))</f>
        <v>0</v>
      </c>
      <c r="W45" s="106">
        <f>V45*Constants!$D$23</f>
        <v>0</v>
      </c>
      <c r="X45" s="106">
        <f t="shared" si="14"/>
        <v>81.950709605652037</v>
      </c>
      <c r="Y45" s="101">
        <f>X45*(1+Constants!$D$20)^-F45</f>
        <v>80.343832946717683</v>
      </c>
      <c r="AC45" s="118"/>
    </row>
    <row r="46" spans="6:29" x14ac:dyDescent="0.3">
      <c r="F46" s="103">
        <v>2</v>
      </c>
      <c r="G46" s="110">
        <f>G45*(1-Constants!$D$11)</f>
        <v>0.99002500000000004</v>
      </c>
      <c r="H46" s="105">
        <f>$C$17*(G46-Constants!$N$16)</f>
        <v>702.68007145482659</v>
      </c>
      <c r="I46" s="105">
        <f>Consumption!$C$2-'Analysis (A)'!H46</f>
        <v>7597.3199285451738</v>
      </c>
      <c r="J46" s="106">
        <f>I46*'Grid Power'!K19</f>
        <v>967.35550792303843</v>
      </c>
      <c r="K46" s="106">
        <v>0</v>
      </c>
      <c r="L46" s="107">
        <f>L45*(1+Constants!$D$20)</f>
        <v>4.1616</v>
      </c>
      <c r="M46" s="106">
        <v>0</v>
      </c>
      <c r="N46" s="106">
        <v>0</v>
      </c>
      <c r="O46" s="107">
        <v>0</v>
      </c>
      <c r="P46" s="106">
        <f>IF(H46&lt;I46,0,H46-I46)</f>
        <v>0</v>
      </c>
      <c r="Q46" s="106">
        <f t="shared" si="13"/>
        <v>-971.51710792303845</v>
      </c>
      <c r="R46" s="106">
        <f>'Analysis (A)'!Q46+'Analysis (Nothing)'!D7</f>
        <v>85.314707177190371</v>
      </c>
      <c r="S46" s="106">
        <f>IF(MOD(L46,5)=0,L46/2,0)</f>
        <v>0</v>
      </c>
      <c r="T46" s="106">
        <f>U45*Configurations!$G$6</f>
        <v>519.68362500000001</v>
      </c>
      <c r="U46" s="106">
        <f t="shared" si="15"/>
        <v>1212.5951249999998</v>
      </c>
      <c r="V46" s="106">
        <f t="shared" si="16"/>
        <v>0</v>
      </c>
      <c r="W46" s="106">
        <f>V46*Constants!$D$23</f>
        <v>0</v>
      </c>
      <c r="X46" s="106">
        <f t="shared" si="14"/>
        <v>85.314707177190371</v>
      </c>
      <c r="Y46" s="101">
        <f>X46*(1+Constants!$D$20)^-F46</f>
        <v>82.001833119175672</v>
      </c>
    </row>
    <row r="47" spans="6:29" x14ac:dyDescent="0.3">
      <c r="F47" s="103">
        <v>3</v>
      </c>
      <c r="G47" s="110">
        <f>G46*(1-Constants!$D$11)</f>
        <v>0.98507487500000002</v>
      </c>
      <c r="H47" s="105">
        <f>$C$17*(G47-Constants!$N$16)</f>
        <v>699.09423172006677</v>
      </c>
      <c r="I47" s="105">
        <f>Consumption!$C$2-'Analysis (A)'!H47</f>
        <v>7600.905768279933</v>
      </c>
      <c r="J47" s="106">
        <f>I47*'Grid Power'!K20</f>
        <v>1011.857446902431</v>
      </c>
      <c r="K47" s="106">
        <v>0</v>
      </c>
      <c r="L47" s="107">
        <f>L46*(1+Constants!$D$20)</f>
        <v>4.2448319999999997</v>
      </c>
      <c r="M47" s="106">
        <v>0</v>
      </c>
      <c r="N47" s="106">
        <v>0</v>
      </c>
      <c r="O47" s="107">
        <v>0</v>
      </c>
      <c r="P47" s="106">
        <f>IF(H47&lt;I47,0,H47-I47)</f>
        <v>0</v>
      </c>
      <c r="Q47" s="106">
        <f t="shared" si="13"/>
        <v>-1016.102278902431</v>
      </c>
      <c r="R47" s="106">
        <f>'Analysis (A)'!Q47+'Analysis (Nothing)'!D8</f>
        <v>88.826204573375207</v>
      </c>
      <c r="S47" s="106">
        <f t="shared" ref="S47:S48" si="17">IF(MOD(L47,5)=0,L47/2,0)</f>
        <v>0</v>
      </c>
      <c r="T47" s="106">
        <f>U46*Configurations!$G$6</f>
        <v>363.77853749999991</v>
      </c>
      <c r="U47" s="106">
        <f t="shared" si="15"/>
        <v>848.81658749999997</v>
      </c>
      <c r="V47" s="106">
        <f t="shared" si="16"/>
        <v>0</v>
      </c>
      <c r="W47" s="106">
        <f>V47*Constants!$D$23</f>
        <v>0</v>
      </c>
      <c r="X47" s="106">
        <f t="shared" si="14"/>
        <v>88.826204573375207</v>
      </c>
      <c r="Y47" s="101">
        <f>X47*(1+Constants!$D$20)^-F47</f>
        <v>83.702916462536294</v>
      </c>
    </row>
    <row r="48" spans="6:29" x14ac:dyDescent="0.3">
      <c r="F48" s="103">
        <v>4</v>
      </c>
      <c r="G48" s="110">
        <f>G47*(1-Constants!$D$11)</f>
        <v>0.98014950062500006</v>
      </c>
      <c r="H48" s="105">
        <f>$C$17*(G48-Constants!$N$16)</f>
        <v>695.52632118398083</v>
      </c>
      <c r="I48" s="105">
        <f>Consumption!$C$2-'Analysis (A)'!H48</f>
        <v>7604.4736788160189</v>
      </c>
      <c r="J48" s="106">
        <f>I48*'Grid Power'!K21</f>
        <v>1058.5288789252872</v>
      </c>
      <c r="K48" s="106">
        <v>0</v>
      </c>
      <c r="L48" s="107">
        <f>L47*(1+Constants!$D$20)</f>
        <v>4.3297286399999999</v>
      </c>
      <c r="M48" s="106">
        <v>0</v>
      </c>
      <c r="N48" s="106">
        <v>0</v>
      </c>
      <c r="O48" s="107">
        <v>0</v>
      </c>
      <c r="P48" s="106">
        <f>IF(H48&lt;I48,0,H48-I48)</f>
        <v>0</v>
      </c>
      <c r="Q48" s="106">
        <f t="shared" si="13"/>
        <v>-1062.8586075652872</v>
      </c>
      <c r="R48" s="106">
        <f>'Analysis (A)'!Q48+'Analysis (Nothing)'!D9</f>
        <v>92.491835780971314</v>
      </c>
      <c r="S48" s="106">
        <f t="shared" si="17"/>
        <v>0</v>
      </c>
      <c r="T48" s="106">
        <f>U47*Configurations!$G$6</f>
        <v>254.64497624999998</v>
      </c>
      <c r="U48" s="106">
        <f t="shared" si="15"/>
        <v>594.17161124999996</v>
      </c>
      <c r="V48" s="106">
        <f t="shared" si="16"/>
        <v>0</v>
      </c>
      <c r="W48" s="106">
        <f>V48*Constants!$D$23</f>
        <v>0</v>
      </c>
      <c r="X48" s="106">
        <f t="shared" si="14"/>
        <v>92.491835780971314</v>
      </c>
      <c r="Y48" s="101">
        <f>X48*(1+Constants!$D$20)^-F48</f>
        <v>85.448159431045838</v>
      </c>
      <c r="AB48" s="90"/>
    </row>
    <row r="49" spans="6:25" x14ac:dyDescent="0.3">
      <c r="F49" s="103">
        <v>5</v>
      </c>
      <c r="G49" s="110">
        <f>G48*(1-Constants!$D$11)</f>
        <v>0.97524875312187509</v>
      </c>
      <c r="H49" s="105">
        <f>$C$17*(G49-Constants!$N$16)</f>
        <v>691.97625020057535</v>
      </c>
      <c r="I49" s="105">
        <f>Consumption!$C$2-'Analysis (A)'!H49</f>
        <v>7608.0237497994249</v>
      </c>
      <c r="J49" s="106">
        <f>I49*'Grid Power'!K22</f>
        <v>1107.4786174836258</v>
      </c>
      <c r="K49" s="106">
        <v>0</v>
      </c>
      <c r="L49" s="107">
        <f>L48*(1+Constants!$D$20)</f>
        <v>4.4163232128000001</v>
      </c>
      <c r="M49" s="106">
        <v>0</v>
      </c>
      <c r="N49" s="106">
        <v>0</v>
      </c>
      <c r="O49" s="107">
        <v>0</v>
      </c>
      <c r="P49" s="106">
        <v>0</v>
      </c>
      <c r="Q49" s="106">
        <f t="shared" si="13"/>
        <v>-1111.8949406964259</v>
      </c>
      <c r="R49" s="106">
        <f>'Analysis (A)'!Q49+'Analysis (Nothing)'!D10</f>
        <v>96.31853583236807</v>
      </c>
      <c r="S49" s="106">
        <f>IF(L49&lt;&gt;0,L49/2,IF(L48&lt;&gt;0,L48/2,0))</f>
        <v>2.2081616064</v>
      </c>
      <c r="T49" s="106">
        <f>U48*Configurations!$G$6</f>
        <v>178.25148337499999</v>
      </c>
      <c r="U49" s="106">
        <f t="shared" si="15"/>
        <v>418.12828948139997</v>
      </c>
      <c r="V49" s="106">
        <f t="shared" si="16"/>
        <v>0</v>
      </c>
      <c r="W49" s="106">
        <f>V49*Constants!$D$23</f>
        <v>0</v>
      </c>
      <c r="X49" s="106">
        <f t="shared" si="14"/>
        <v>96.31853583236807</v>
      </c>
      <c r="Y49" s="101">
        <f>X49*(1+Constants!$D$20)^-F49</f>
        <v>87.238665461082505</v>
      </c>
    </row>
    <row r="50" spans="6:25" x14ac:dyDescent="0.3">
      <c r="F50" s="103">
        <v>6</v>
      </c>
      <c r="G50" s="110">
        <f>G49*(1-Constants!$D$11)</f>
        <v>0.97037250935626573</v>
      </c>
      <c r="H50" s="105">
        <f>$C$17*(G50-Constants!$N$16)</f>
        <v>688.44392957208686</v>
      </c>
      <c r="I50" s="105">
        <f>Consumption!$C$2-'Analysis (A)'!H50</f>
        <v>7611.5560704279133</v>
      </c>
      <c r="J50" s="106">
        <f>I50*'Grid Power'!K23</f>
        <v>1158.8210037539161</v>
      </c>
      <c r="K50" s="106">
        <v>0</v>
      </c>
      <c r="L50" s="107">
        <f>L49*(1+Constants!$D$20)</f>
        <v>4.5046496770560003</v>
      </c>
      <c r="M50" s="106">
        <v>0</v>
      </c>
      <c r="N50" s="106">
        <v>0</v>
      </c>
      <c r="O50" s="107">
        <v>0</v>
      </c>
      <c r="P50" s="106">
        <f t="shared" ref="P50:P63" si="18">IF(H50&lt;I50,0,H50-I50)</f>
        <v>0</v>
      </c>
      <c r="Q50" s="106">
        <f t="shared" si="13"/>
        <v>-1163.3256534309721</v>
      </c>
      <c r="R50" s="106">
        <f>'Analysis (A)'!Q50+'Analysis (Nothing)'!D11</f>
        <v>100.31355450524779</v>
      </c>
      <c r="S50" s="106">
        <f t="shared" ref="S50:S53" si="19">IF(L50&lt;&gt;0,L50/2,IF(L49&lt;&gt;0,L49/2,0))</f>
        <v>2.2523248385280001</v>
      </c>
      <c r="T50" s="106">
        <f>U49*Configurations!$G$6</f>
        <v>125.43848684441998</v>
      </c>
      <c r="U50" s="106">
        <f t="shared" si="15"/>
        <v>294.94212747550802</v>
      </c>
      <c r="V50" s="106">
        <f t="shared" si="16"/>
        <v>0</v>
      </c>
      <c r="W50" s="106">
        <f>V50*Constants!$D$23</f>
        <v>0</v>
      </c>
      <c r="X50" s="106">
        <f t="shared" si="14"/>
        <v>100.31355450524779</v>
      </c>
      <c r="Y50" s="101">
        <f>X50*(1+Constants!$D$20)^-F50</f>
        <v>89.075565646034789</v>
      </c>
    </row>
    <row r="51" spans="6:25" x14ac:dyDescent="0.3">
      <c r="F51" s="103">
        <v>7</v>
      </c>
      <c r="G51" s="110">
        <f>G50*(1-Constants!$D$11)</f>
        <v>0.96552064680948435</v>
      </c>
      <c r="H51" s="105">
        <f>$C$17*(G51-Constants!$N$16)</f>
        <v>684.92927054674078</v>
      </c>
      <c r="I51" s="105">
        <f>Consumption!$C$2-'Analysis (A)'!H51</f>
        <v>7615.0707294532594</v>
      </c>
      <c r="J51" s="106">
        <f>I51*'Grid Power'!K24</f>
        <v>1212.6761888990497</v>
      </c>
      <c r="K51" s="106">
        <v>0</v>
      </c>
      <c r="L51" s="107">
        <f>L50*(1+Constants!$D$20)</f>
        <v>4.5947426705971202</v>
      </c>
      <c r="M51" s="106">
        <v>0</v>
      </c>
      <c r="N51" s="106">
        <v>0</v>
      </c>
      <c r="O51" s="107">
        <v>0</v>
      </c>
      <c r="P51" s="106">
        <f t="shared" si="18"/>
        <v>0</v>
      </c>
      <c r="Q51" s="106">
        <f t="shared" si="13"/>
        <v>-1217.2709315696468</v>
      </c>
      <c r="R51" s="106">
        <f>'Analysis (A)'!Q51+'Analysis (Nothing)'!D12</f>
        <v>104.48447064607603</v>
      </c>
      <c r="S51" s="106">
        <f t="shared" si="19"/>
        <v>2.2973713352985601</v>
      </c>
      <c r="T51" s="106">
        <f>U50*Configurations!$G$6</f>
        <v>88.482638242652399</v>
      </c>
      <c r="U51" s="106">
        <f t="shared" si="15"/>
        <v>208.7568605681542</v>
      </c>
      <c r="V51" s="106">
        <f t="shared" si="16"/>
        <v>16.001832403423634</v>
      </c>
      <c r="W51" s="106">
        <f>V51*Constants!$D$23</f>
        <v>1.6001832403423635</v>
      </c>
      <c r="X51" s="106">
        <f t="shared" si="14"/>
        <v>102.88428740573367</v>
      </c>
      <c r="Y51" s="101">
        <f>X51*(1+Constants!$D$20)^-F51</f>
        <v>89.566963620500758</v>
      </c>
    </row>
    <row r="52" spans="6:25" x14ac:dyDescent="0.3">
      <c r="F52" s="103">
        <v>8</v>
      </c>
      <c r="G52" s="110">
        <f>G51*(1-Constants!$D$11)</f>
        <v>0.96069304357543694</v>
      </c>
      <c r="H52" s="105">
        <f>$C$17*(G52-Constants!$N$16)</f>
        <v>681.4321848165215</v>
      </c>
      <c r="I52" s="105">
        <f>Consumption!$C$2-'Analysis (A)'!H52</f>
        <v>7618.5678151834782</v>
      </c>
      <c r="J52" s="106">
        <f>I52*'Grid Power'!K25</f>
        <v>1269.1704308164997</v>
      </c>
      <c r="K52" s="106">
        <v>0</v>
      </c>
      <c r="L52" s="107">
        <f>L51*(1+Constants!$D$20)</f>
        <v>4.686637524009063</v>
      </c>
      <c r="M52" s="106">
        <v>0</v>
      </c>
      <c r="N52" s="106">
        <v>0</v>
      </c>
      <c r="O52" s="107">
        <v>0</v>
      </c>
      <c r="P52" s="106">
        <f t="shared" si="18"/>
        <v>0</v>
      </c>
      <c r="Q52" s="106">
        <f t="shared" si="13"/>
        <v>-1273.8570683405087</v>
      </c>
      <c r="R52" s="106">
        <f>'Analysis (A)'!Q52+'Analysis (Nothing)'!D13</f>
        <v>108.83920714581609</v>
      </c>
      <c r="S52" s="106">
        <f t="shared" si="19"/>
        <v>2.3433187620045315</v>
      </c>
      <c r="T52" s="106">
        <f>U51*Configurations!$G$6</f>
        <v>62.627058170446254</v>
      </c>
      <c r="U52" s="106">
        <f t="shared" si="15"/>
        <v>148.47312115971249</v>
      </c>
      <c r="V52" s="106">
        <f t="shared" si="16"/>
        <v>46.212148975369836</v>
      </c>
      <c r="W52" s="106">
        <f>V52*Constants!$D$23</f>
        <v>4.6212148975369836</v>
      </c>
      <c r="X52" s="106">
        <f t="shared" si="14"/>
        <v>104.2179922482791</v>
      </c>
      <c r="Y52" s="101">
        <f>X52*(1+Constants!$D$20)^-F52</f>
        <v>88.949052888671901</v>
      </c>
    </row>
    <row r="53" spans="6:25" x14ac:dyDescent="0.3">
      <c r="F53" s="103">
        <v>9</v>
      </c>
      <c r="G53" s="110">
        <f>G52*(1-Constants!$D$11)</f>
        <v>0.95588957835755972</v>
      </c>
      <c r="H53" s="105">
        <f>$C$17*(G53-Constants!$N$16)</f>
        <v>677.95258451495329</v>
      </c>
      <c r="I53" s="105">
        <f>Consumption!$C$2-'Analysis (A)'!H53</f>
        <v>7622.0474154850472</v>
      </c>
      <c r="J53" s="106">
        <f>I53*'Grid Power'!K26</f>
        <v>1328.436406072344</v>
      </c>
      <c r="K53" s="106">
        <v>0</v>
      </c>
      <c r="L53" s="107">
        <f>L52*(1+Constants!$D$20)</f>
        <v>4.7803702744892442</v>
      </c>
      <c r="M53" s="106">
        <v>0</v>
      </c>
      <c r="N53" s="106">
        <v>0</v>
      </c>
      <c r="O53" s="107">
        <v>0</v>
      </c>
      <c r="P53" s="106">
        <f t="shared" si="18"/>
        <v>0</v>
      </c>
      <c r="Q53" s="106">
        <f t="shared" si="13"/>
        <v>-1333.2167763468333</v>
      </c>
      <c r="R53" s="106">
        <f>'Analysis (A)'!Q53+'Analysis (Nothing)'!D14</f>
        <v>113.38604659756174</v>
      </c>
      <c r="S53" s="106">
        <f t="shared" si="19"/>
        <v>2.3901851372446221</v>
      </c>
      <c r="T53" s="106">
        <f>U52*Configurations!$G$6</f>
        <v>44.541936347913747</v>
      </c>
      <c r="U53" s="106">
        <f t="shared" si="15"/>
        <v>106.32136994904337</v>
      </c>
      <c r="V53" s="106">
        <f t="shared" si="16"/>
        <v>68.844110249647997</v>
      </c>
      <c r="W53" s="106">
        <f>V53*Constants!$D$23</f>
        <v>6.8844110249648001</v>
      </c>
      <c r="X53" s="106">
        <f t="shared" si="14"/>
        <v>106.50163557259694</v>
      </c>
      <c r="Y53" s="101">
        <f>X53*(1+Constants!$D$20)^-F53</f>
        <v>89.115804389421328</v>
      </c>
    </row>
    <row r="54" spans="6:25" x14ac:dyDescent="0.3">
      <c r="F54" s="103">
        <v>10</v>
      </c>
      <c r="G54" s="110">
        <f>G53*(1-Constants!$D$11)</f>
        <v>0.95111013046577186</v>
      </c>
      <c r="H54" s="105">
        <f>$C$17*(G54-Constants!$N$16)</f>
        <v>674.49038221489286</v>
      </c>
      <c r="I54" s="105">
        <f>Consumption!$C$2-'Analysis (A)'!H54</f>
        <v>7625.5096177851074</v>
      </c>
      <c r="J54" s="106">
        <f>I54*'Grid Power'!K27</f>
        <v>1390.6135377986946</v>
      </c>
      <c r="K54" s="106">
        <v>0</v>
      </c>
      <c r="L54" s="107">
        <f>L53*(1+Constants!$D$20)</f>
        <v>4.8759776799790293</v>
      </c>
      <c r="M54" s="106">
        <f>IF(MOD(F54,Configurations!$I$7)=0,Configurations!$C$16,0)</f>
        <v>942.375</v>
      </c>
      <c r="N54" s="106">
        <v>0</v>
      </c>
      <c r="O54" s="107">
        <v>0</v>
      </c>
      <c r="P54" s="106">
        <f t="shared" si="18"/>
        <v>0</v>
      </c>
      <c r="Q54" s="106">
        <f t="shared" ref="Q54:Q74" si="20">N54+P54-M54-K54-J54</f>
        <v>-2332.9885377986948</v>
      </c>
      <c r="R54" s="106">
        <f>'Analysis (A)'!Q54+'Analysis (Nothing)'!D15</f>
        <v>-819.36537465288643</v>
      </c>
      <c r="S54" s="106">
        <f>IF(M54&lt;&gt;0,M54/2,IF(L53&lt;&gt;0,L53/2,0))</f>
        <v>471.1875</v>
      </c>
      <c r="T54" s="106">
        <f>U53*Configurations!$G$6</f>
        <v>31.896410984713011</v>
      </c>
      <c r="U54" s="106">
        <f t="shared" si="15"/>
        <v>545.61245896433036</v>
      </c>
      <c r="V54" s="106">
        <f t="shared" si="16"/>
        <v>0</v>
      </c>
      <c r="W54" s="106">
        <f>V54*Constants!$D$23</f>
        <v>0</v>
      </c>
      <c r="X54" s="106">
        <f t="shared" si="14"/>
        <v>-819.36537465288643</v>
      </c>
      <c r="Y54" s="101">
        <f>X54*(1+Constants!$D$20)^-F54</f>
        <v>-672.16499207306504</v>
      </c>
    </row>
    <row r="55" spans="6:25" x14ac:dyDescent="0.3">
      <c r="F55" s="103">
        <v>11</v>
      </c>
      <c r="G55" s="110">
        <f>G54*(1-Constants!$D$11)</f>
        <v>0.94635457981344295</v>
      </c>
      <c r="H55" s="105">
        <f>$C$17*(G55-Constants!$N$16)</f>
        <v>671.04549092633272</v>
      </c>
      <c r="I55" s="105">
        <f>Consumption!$C$2-'Analysis (A)'!H55</f>
        <v>7628.9545090736674</v>
      </c>
      <c r="J55" s="106">
        <f>I55*'Grid Power'!K28</f>
        <v>1455.8483403719013</v>
      </c>
      <c r="K55" s="106">
        <v>0</v>
      </c>
      <c r="L55" s="107">
        <f>L54*(1+Constants!$D$20)</f>
        <v>4.9734972335786098</v>
      </c>
      <c r="M55" s="106">
        <v>0</v>
      </c>
      <c r="N55" s="106">
        <v>0</v>
      </c>
      <c r="O55" s="107">
        <v>0</v>
      </c>
      <c r="P55" s="106">
        <f t="shared" si="18"/>
        <v>0</v>
      </c>
      <c r="Q55" s="106">
        <f t="shared" si="20"/>
        <v>-1455.8483403719013</v>
      </c>
      <c r="R55" s="106">
        <f>'Analysis (A)'!Q55+'Analysis (Nothing)'!D16</f>
        <v>128.06455944267987</v>
      </c>
      <c r="S55" s="106">
        <f t="shared" ref="S55:S74" si="21">IF(M55&lt;&gt;0,M55/2,IF(M54&lt;&gt;0,M54/2,0))</f>
        <v>471.1875</v>
      </c>
      <c r="T55" s="106">
        <f>U54*Configurations!$G$6</f>
        <v>163.68373768929911</v>
      </c>
      <c r="U55" s="106">
        <f t="shared" si="15"/>
        <v>853.11622127503119</v>
      </c>
      <c r="V55" s="106">
        <f t="shared" si="16"/>
        <v>0</v>
      </c>
      <c r="W55" s="106">
        <f>V55*Constants!$D$23</f>
        <v>0</v>
      </c>
      <c r="X55" s="106">
        <f t="shared" si="14"/>
        <v>128.06455944267987</v>
      </c>
      <c r="Y55" s="101">
        <f>X55*(1+Constants!$D$20)^-F55</f>
        <v>102.99759177751295</v>
      </c>
    </row>
    <row r="56" spans="6:25" x14ac:dyDescent="0.3">
      <c r="F56" s="103">
        <v>12</v>
      </c>
      <c r="G56" s="110">
        <f>G55*(1-Constants!$D$11)</f>
        <v>0.94162280691437572</v>
      </c>
      <c r="H56" s="105">
        <f>$C$17*(G56-Constants!$N$16)</f>
        <v>667.61782409421539</v>
      </c>
      <c r="I56" s="105">
        <f>Consumption!$C$2-'Analysis (A)'!H56</f>
        <v>7632.3821759057846</v>
      </c>
      <c r="J56" s="106">
        <f>I56*'Grid Power'!K29</f>
        <v>1524.2947817307256</v>
      </c>
      <c r="K56" s="106">
        <v>0</v>
      </c>
      <c r="L56" s="107">
        <f>L55*(1+Constants!$D$20)</f>
        <v>5.072967178250182</v>
      </c>
      <c r="M56" s="106">
        <v>0</v>
      </c>
      <c r="N56" s="106">
        <v>0</v>
      </c>
      <c r="O56" s="107">
        <v>0</v>
      </c>
      <c r="P56" s="106">
        <f t="shared" si="18"/>
        <v>0</v>
      </c>
      <c r="Q56" s="106">
        <f t="shared" si="20"/>
        <v>-1524.2947817307256</v>
      </c>
      <c r="R56" s="106">
        <f>'Analysis (A)'!Q56+'Analysis (Nothing)'!D17</f>
        <v>133.34072034039968</v>
      </c>
      <c r="S56" s="106">
        <f t="shared" si="21"/>
        <v>0</v>
      </c>
      <c r="T56" s="106">
        <f>U55*Configurations!$G$6</f>
        <v>255.93486638250934</v>
      </c>
      <c r="U56" s="106">
        <f t="shared" si="15"/>
        <v>597.18135489252188</v>
      </c>
      <c r="V56" s="106">
        <f t="shared" si="16"/>
        <v>0</v>
      </c>
      <c r="W56" s="106">
        <f>V56*Constants!$D$23</f>
        <v>0</v>
      </c>
      <c r="X56" s="106">
        <f t="shared" si="14"/>
        <v>133.34072034039968</v>
      </c>
      <c r="Y56" s="101">
        <f>X56*(1+Constants!$D$20)^-F56</f>
        <v>105.13824801554732</v>
      </c>
    </row>
    <row r="57" spans="6:25" x14ac:dyDescent="0.3">
      <c r="F57" s="103">
        <v>13</v>
      </c>
      <c r="G57" s="110">
        <f>G56*(1-Constants!$D$11)</f>
        <v>0.93691469287980389</v>
      </c>
      <c r="H57" s="105">
        <f>$C$17*(G57-Constants!$N$16)</f>
        <v>664.20729559625875</v>
      </c>
      <c r="I57" s="105">
        <f>Consumption!$C$2-'Analysis (A)'!H57</f>
        <v>7635.7927044037415</v>
      </c>
      <c r="J57" s="106">
        <f>I57*'Grid Power'!K30</f>
        <v>1596.1146642376877</v>
      </c>
      <c r="K57" s="106">
        <v>0</v>
      </c>
      <c r="L57" s="107">
        <f>L56*(1+Constants!$D$20)</f>
        <v>5.1744265218151853</v>
      </c>
      <c r="M57" s="106">
        <v>0</v>
      </c>
      <c r="N57" s="106">
        <v>0</v>
      </c>
      <c r="O57" s="107">
        <v>0</v>
      </c>
      <c r="P57" s="106">
        <f t="shared" si="18"/>
        <v>0</v>
      </c>
      <c r="Q57" s="106">
        <f t="shared" si="20"/>
        <v>-1596.1146642376877</v>
      </c>
      <c r="R57" s="106">
        <f>'Analysis (A)'!Q57+'Analysis (Nothing)'!D18</f>
        <v>138.84803978111722</v>
      </c>
      <c r="S57" s="106">
        <f t="shared" si="21"/>
        <v>0</v>
      </c>
      <c r="T57" s="106">
        <f>U56*Configurations!$G$6</f>
        <v>179.15440646775656</v>
      </c>
      <c r="U57" s="106">
        <f t="shared" si="15"/>
        <v>418.02694842476535</v>
      </c>
      <c r="V57" s="106">
        <f t="shared" si="16"/>
        <v>0</v>
      </c>
      <c r="W57" s="106">
        <f>V57*Constants!$D$23</f>
        <v>0</v>
      </c>
      <c r="X57" s="106">
        <f t="shared" si="14"/>
        <v>138.84803978111722</v>
      </c>
      <c r="Y57" s="101">
        <f>X57*(1+Constants!$D$20)^-F57</f>
        <v>107.33405079441303</v>
      </c>
    </row>
    <row r="58" spans="6:25" x14ac:dyDescent="0.3">
      <c r="F58" s="103">
        <v>14</v>
      </c>
      <c r="G58" s="110">
        <f>G57*(1-Constants!$D$11)</f>
        <v>0.9322301194154049</v>
      </c>
      <c r="H58" s="105">
        <f>$C$17*(G58-Constants!$N$16)</f>
        <v>660.81381974079193</v>
      </c>
      <c r="I58" s="105">
        <f>Consumption!$C$2-'Analysis (A)'!H58</f>
        <v>7639.1861802592084</v>
      </c>
      <c r="J58" s="106">
        <f>I58*'Grid Power'!K31</f>
        <v>1671.4780250330296</v>
      </c>
      <c r="K58" s="106">
        <v>0</v>
      </c>
      <c r="L58" s="107">
        <f>L57*(1+Constants!$D$20)</f>
        <v>5.2779150522514895</v>
      </c>
      <c r="M58" s="106">
        <v>0</v>
      </c>
      <c r="N58" s="106">
        <v>0</v>
      </c>
      <c r="O58" s="107">
        <v>0</v>
      </c>
      <c r="P58" s="106">
        <f t="shared" si="18"/>
        <v>0</v>
      </c>
      <c r="Q58" s="106">
        <f t="shared" si="20"/>
        <v>-1671.4780250330296</v>
      </c>
      <c r="R58" s="106">
        <f>'Analysis (A)'!Q58+'Analysis (Nothing)'!D19</f>
        <v>144.59689964231166</v>
      </c>
      <c r="S58" s="106">
        <f t="shared" si="21"/>
        <v>0</v>
      </c>
      <c r="T58" s="106">
        <f>U57*Configurations!$G$6</f>
        <v>125.40808452742959</v>
      </c>
      <c r="U58" s="106">
        <f t="shared" si="15"/>
        <v>292.61886389733576</v>
      </c>
      <c r="V58" s="106">
        <f t="shared" si="16"/>
        <v>19.188815114882061</v>
      </c>
      <c r="W58" s="106">
        <f>V58*Constants!$D$23</f>
        <v>1.9188815114882063</v>
      </c>
      <c r="X58" s="106">
        <f t="shared" si="14"/>
        <v>142.67801813082346</v>
      </c>
      <c r="Y58" s="101">
        <f>X58*(1+Constants!$D$20)^-F58</f>
        <v>108.13210649910624</v>
      </c>
    </row>
    <row r="59" spans="6:25" x14ac:dyDescent="0.3">
      <c r="F59" s="103">
        <v>15</v>
      </c>
      <c r="G59" s="110">
        <f>G58*(1-Constants!$D$11)</f>
        <v>0.92756896881832784</v>
      </c>
      <c r="H59" s="105">
        <f>$C$17*(G59-Constants!$N$16)</f>
        <v>657.43731126460227</v>
      </c>
      <c r="I59" s="105">
        <f>Consumption!$C$2-'Analysis (A)'!H59</f>
        <v>7642.5626887353974</v>
      </c>
      <c r="J59" s="106">
        <f>I59*'Grid Power'!K32</f>
        <v>1750.5635568793402</v>
      </c>
      <c r="K59" s="106">
        <v>0</v>
      </c>
      <c r="L59" s="107">
        <f>L58*(1+Constants!$D$20)</f>
        <v>5.3834733532965195</v>
      </c>
      <c r="M59" s="106">
        <v>0</v>
      </c>
      <c r="N59" s="106">
        <v>0</v>
      </c>
      <c r="O59" s="107">
        <v>0</v>
      </c>
      <c r="P59" s="106">
        <f t="shared" si="18"/>
        <v>0</v>
      </c>
      <c r="Q59" s="106">
        <f t="shared" si="20"/>
        <v>-1750.5635568793402</v>
      </c>
      <c r="R59" s="106">
        <f>'Analysis (A)'!Q59+'Analysis (Nothing)'!D20</f>
        <v>150.59815240655576</v>
      </c>
      <c r="S59" s="106">
        <f t="shared" si="21"/>
        <v>0</v>
      </c>
      <c r="T59" s="106">
        <f>U58*Configurations!$G$6</f>
        <v>87.785659169200727</v>
      </c>
      <c r="U59" s="106">
        <f t="shared" si="15"/>
        <v>204.83320472813503</v>
      </c>
      <c r="V59" s="106">
        <f t="shared" si="16"/>
        <v>62.812493237355028</v>
      </c>
      <c r="W59" s="106">
        <f>V59*Constants!$D$23</f>
        <v>6.2812493237355032</v>
      </c>
      <c r="X59" s="106">
        <f t="shared" si="14"/>
        <v>144.31690308282026</v>
      </c>
      <c r="Y59" s="101">
        <f>X59*(1+Constants!$D$20)^-F59</f>
        <v>107.229584776861</v>
      </c>
    </row>
    <row r="60" spans="6:25" x14ac:dyDescent="0.3">
      <c r="F60" s="103">
        <v>16</v>
      </c>
      <c r="G60" s="110">
        <f>G59*(1-Constants!$D$11)</f>
        <v>0.92293112397423616</v>
      </c>
      <c r="H60" s="105">
        <f>$C$17*(G60-Constants!$N$16)</f>
        <v>654.07768533079366</v>
      </c>
      <c r="I60" s="105">
        <f>Consumption!$C$2-'Analysis (A)'!H60</f>
        <v>7645.9223146692066</v>
      </c>
      <c r="J60" s="106">
        <f>I60*'Grid Power'!K33</f>
        <v>1833.5590505459879</v>
      </c>
      <c r="K60" s="106">
        <v>0</v>
      </c>
      <c r="L60" s="107">
        <f>L59*(1+Constants!$D$20)</f>
        <v>5.4911428203624499</v>
      </c>
      <c r="M60" s="106">
        <v>0</v>
      </c>
      <c r="N60" s="106">
        <v>0</v>
      </c>
      <c r="O60" s="107">
        <v>0</v>
      </c>
      <c r="P60" s="106">
        <f t="shared" si="18"/>
        <v>0</v>
      </c>
      <c r="Q60" s="106">
        <f t="shared" si="20"/>
        <v>-1833.5590505459879</v>
      </c>
      <c r="R60" s="106">
        <f>'Analysis (A)'!Q60+'Analysis (Nothing)'!D21</f>
        <v>156.86314256154697</v>
      </c>
      <c r="S60" s="106">
        <f t="shared" si="21"/>
        <v>0</v>
      </c>
      <c r="T60" s="106">
        <f>U59*Configurations!$G$6</f>
        <v>61.449961418440509</v>
      </c>
      <c r="U60" s="106">
        <f t="shared" si="15"/>
        <v>143.38324330969454</v>
      </c>
      <c r="V60" s="106">
        <f t="shared" si="16"/>
        <v>95.413181143106456</v>
      </c>
      <c r="W60" s="106">
        <f>V60*Constants!$D$23</f>
        <v>9.5413181143106467</v>
      </c>
      <c r="X60" s="106">
        <f t="shared" si="14"/>
        <v>147.32182444723631</v>
      </c>
      <c r="Y60" s="101">
        <f>X60*(1+Constants!$D$20)^-F60</f>
        <v>107.31596628733266</v>
      </c>
    </row>
    <row r="61" spans="6:25" x14ac:dyDescent="0.3">
      <c r="F61" s="103">
        <v>17</v>
      </c>
      <c r="G61" s="110">
        <f>G60*(1-Constants!$D$11)</f>
        <v>0.91831646835436498</v>
      </c>
      <c r="H61" s="105">
        <f>$C$17*(G61-Constants!$N$16)</f>
        <v>650.73485752665408</v>
      </c>
      <c r="I61" s="105">
        <f>Consumption!$C$2-'Analysis (A)'!H61</f>
        <v>7649.2651424733458</v>
      </c>
      <c r="J61" s="106">
        <f>I61*'Grid Power'!K34</f>
        <v>1920.6618598362277</v>
      </c>
      <c r="K61" s="106">
        <v>0</v>
      </c>
      <c r="L61" s="107">
        <f>L60*(1+Constants!$D$20)</f>
        <v>5.6009656767696994</v>
      </c>
      <c r="M61" s="106">
        <v>0</v>
      </c>
      <c r="N61" s="106">
        <v>0</v>
      </c>
      <c r="O61" s="107">
        <v>0</v>
      </c>
      <c r="P61" s="106">
        <f t="shared" si="18"/>
        <v>0</v>
      </c>
      <c r="Q61" s="106">
        <f t="shared" si="20"/>
        <v>-1920.6618598362277</v>
      </c>
      <c r="R61" s="106">
        <f>'Analysis (A)'!Q61+'Analysis (Nothing)'!D22</f>
        <v>163.40372897410748</v>
      </c>
      <c r="S61" s="106">
        <f t="shared" si="21"/>
        <v>0</v>
      </c>
      <c r="T61" s="106">
        <f>U60*Configurations!$G$6</f>
        <v>43.014972992908362</v>
      </c>
      <c r="U61" s="106">
        <f t="shared" si="15"/>
        <v>100.36827031678618</v>
      </c>
      <c r="V61" s="106">
        <f t="shared" si="16"/>
        <v>120.38875598119913</v>
      </c>
      <c r="W61" s="106">
        <f>V61*Constants!$D$23</f>
        <v>12.038875598119914</v>
      </c>
      <c r="X61" s="106">
        <f t="shared" si="14"/>
        <v>151.36485337598756</v>
      </c>
      <c r="Y61" s="101">
        <f>X61*(1+Constants!$D$20)^-F61</f>
        <v>108.09911155412455</v>
      </c>
    </row>
    <row r="62" spans="6:25" x14ac:dyDescent="0.3">
      <c r="F62" s="103">
        <v>18</v>
      </c>
      <c r="G62" s="110">
        <f>G61*(1-Constants!$D$11)</f>
        <v>0.91372488601259316</v>
      </c>
      <c r="H62" s="105">
        <f>$C$17*(G62-Constants!$N$16)</f>
        <v>647.40874386153519</v>
      </c>
      <c r="I62" s="105">
        <f>Consumption!$C$2-'Analysis (A)'!H62</f>
        <v>7652.5912561384648</v>
      </c>
      <c r="J62" s="106">
        <f>I62*'Grid Power'!K35</f>
        <v>2012.0793904163002</v>
      </c>
      <c r="K62" s="106">
        <v>0</v>
      </c>
      <c r="L62" s="107">
        <f>L61*(1+Constants!$D$20)</f>
        <v>5.7129849903050935</v>
      </c>
      <c r="M62" s="106">
        <v>0</v>
      </c>
      <c r="N62" s="106">
        <v>0</v>
      </c>
      <c r="O62" s="107">
        <v>0</v>
      </c>
      <c r="P62" s="106">
        <f t="shared" si="18"/>
        <v>0</v>
      </c>
      <c r="Q62" s="106">
        <f t="shared" si="20"/>
        <v>-2012.0793904163002</v>
      </c>
      <c r="R62" s="106">
        <f>'Analysis (A)'!Q62+'Analysis (Nothing)'!D23</f>
        <v>170.23230828247279</v>
      </c>
      <c r="S62" s="106">
        <f t="shared" si="21"/>
        <v>0</v>
      </c>
      <c r="T62" s="106">
        <f>U61*Configurations!$G$6</f>
        <v>30.110481095035851</v>
      </c>
      <c r="U62" s="106">
        <f t="shared" si="15"/>
        <v>70.257789221750329</v>
      </c>
      <c r="V62" s="106">
        <f t="shared" si="16"/>
        <v>140.12182718743693</v>
      </c>
      <c r="W62" s="106">
        <f>V62*Constants!$D$23</f>
        <v>14.012182718743695</v>
      </c>
      <c r="X62" s="106">
        <f t="shared" si="14"/>
        <v>156.22012556372908</v>
      </c>
      <c r="Y62" s="101">
        <f>X62*(1+Constants!$D$20)^-F62</f>
        <v>109.37898547175175</v>
      </c>
    </row>
    <row r="63" spans="6:25" x14ac:dyDescent="0.3">
      <c r="F63" s="103">
        <v>19</v>
      </c>
      <c r="G63" s="110">
        <f>G62*(1-Constants!$D$11)</f>
        <v>0.90915626158253016</v>
      </c>
      <c r="H63" s="105">
        <f>$C$17*(G63-Constants!$N$16)</f>
        <v>644.09926076474187</v>
      </c>
      <c r="I63" s="105">
        <f>Consumption!$C$2-'Analysis (A)'!H63</f>
        <v>7655.9007392352578</v>
      </c>
      <c r="J63" s="106">
        <f>I63*'Grid Power'!K36</f>
        <v>2108.0296136651959</v>
      </c>
      <c r="K63" s="106">
        <v>0</v>
      </c>
      <c r="L63" s="107">
        <f>L62*(1+Constants!$D$20)</f>
        <v>5.8272446901111952</v>
      </c>
      <c r="M63" s="106">
        <v>0</v>
      </c>
      <c r="N63" s="106">
        <v>0</v>
      </c>
      <c r="O63" s="107">
        <v>0</v>
      </c>
      <c r="P63" s="106">
        <f t="shared" si="18"/>
        <v>0</v>
      </c>
      <c r="Q63" s="106">
        <f t="shared" si="20"/>
        <v>-2108.0296136651959</v>
      </c>
      <c r="R63" s="106">
        <f>'Analysis (A)'!Q63+'Analysis (Nothing)'!D24</f>
        <v>177.36183935322561</v>
      </c>
      <c r="S63" s="106">
        <f t="shared" si="21"/>
        <v>0</v>
      </c>
      <c r="T63" s="106">
        <f>U62*Configurations!$G$6</f>
        <v>21.077336766525097</v>
      </c>
      <c r="U63" s="106">
        <f t="shared" si="15"/>
        <v>49.180452455225236</v>
      </c>
      <c r="V63" s="106">
        <f t="shared" si="16"/>
        <v>156.28450258670051</v>
      </c>
      <c r="W63" s="106">
        <f>V63*Constants!$D$23</f>
        <v>15.628450258670052</v>
      </c>
      <c r="X63" s="106">
        <f t="shared" si="14"/>
        <v>161.73338909455555</v>
      </c>
      <c r="Y63" s="101">
        <f>X63*(1+Constants!$D$20)^-F63</f>
        <v>111.01877315638821</v>
      </c>
    </row>
    <row r="64" spans="6:25" x14ac:dyDescent="0.3">
      <c r="F64" s="103">
        <v>20</v>
      </c>
      <c r="G64" s="110">
        <f>G63*(1-Constants!$D$11)</f>
        <v>0.90461048027461755</v>
      </c>
      <c r="H64" s="105">
        <f>$C$17*(G64-Constants!$N$16)</f>
        <v>640.80632508343251</v>
      </c>
      <c r="I64" s="105">
        <f>Consumption!$C$2-'Analysis (A)'!H64</f>
        <v>7659.193674916567</v>
      </c>
      <c r="J64" s="106">
        <f>I64*'Grid Power'!K37</f>
        <v>2208.7416068261537</v>
      </c>
      <c r="K64" s="106">
        <v>0</v>
      </c>
      <c r="L64" s="107">
        <f>L63*(1+Constants!$D$20)</f>
        <v>5.9437895839134196</v>
      </c>
      <c r="M64" s="106">
        <v>0</v>
      </c>
      <c r="N64" s="106">
        <v>0</v>
      </c>
      <c r="O64" s="107">
        <v>0</v>
      </c>
      <c r="P64" s="106">
        <v>0</v>
      </c>
      <c r="Q64" s="106">
        <f t="shared" si="20"/>
        <v>-2208.7416068261537</v>
      </c>
      <c r="R64" s="106">
        <f>'Analysis (A)'!Q64+'Analysis (Nothing)'!D25</f>
        <v>184.80586885131061</v>
      </c>
      <c r="S64" s="106">
        <f t="shared" si="21"/>
        <v>0</v>
      </c>
      <c r="T64" s="106">
        <f>U63*Configurations!$G$6</f>
        <v>14.754135736567569</v>
      </c>
      <c r="U64" s="106">
        <f t="shared" si="15"/>
        <v>34.426316718657667</v>
      </c>
      <c r="V64" s="106">
        <f t="shared" si="16"/>
        <v>170.05173311474303</v>
      </c>
      <c r="W64" s="106">
        <f>V64*Constants!$D$23</f>
        <v>17.005173311474305</v>
      </c>
      <c r="X64" s="106">
        <f t="shared" si="14"/>
        <v>167.80069553983631</v>
      </c>
      <c r="Y64" s="101">
        <f>X64*(1+Constants!$D$20)^-F64</f>
        <v>112.92505777390296</v>
      </c>
    </row>
    <row r="65" spans="6:25" x14ac:dyDescent="0.3">
      <c r="F65" s="103">
        <v>21</v>
      </c>
      <c r="G65" s="110">
        <f>G64*(1-Constants!$D$11)</f>
        <v>0.90008742787324447</v>
      </c>
      <c r="H65" s="105">
        <f>$C$17*(G65-Constants!$N$16)</f>
        <v>637.52985408052984</v>
      </c>
      <c r="I65" s="105">
        <f>Consumption!$C$2-'Analysis (A)'!H65</f>
        <v>7662.4701459194703</v>
      </c>
      <c r="J65" s="106">
        <f>I65*'Grid Power'!K38</f>
        <v>2314.4561208065375</v>
      </c>
      <c r="K65" s="106">
        <v>0</v>
      </c>
      <c r="L65" s="107">
        <f>L64*(1+Constants!$D$20)</f>
        <v>6.0626653755916884</v>
      </c>
      <c r="M65" s="106">
        <v>0</v>
      </c>
      <c r="N65" s="106">
        <v>0</v>
      </c>
      <c r="O65" s="107">
        <v>0</v>
      </c>
      <c r="P65" s="106">
        <f t="shared" ref="P65:P83" si="22">IF(H65&lt;I65,0,H65-I65)</f>
        <v>0</v>
      </c>
      <c r="Q65" s="106">
        <f t="shared" si="20"/>
        <v>-2314.4561208065375</v>
      </c>
      <c r="R65" s="106">
        <f>'Analysis (A)'!Q65+'Analysis (Nothing)'!D26</f>
        <v>192.57855797379352</v>
      </c>
      <c r="S65" s="106">
        <f t="shared" si="21"/>
        <v>0</v>
      </c>
      <c r="T65" s="106">
        <f>U64*Configurations!$G$6</f>
        <v>10.327895015597299</v>
      </c>
      <c r="U65" s="106">
        <f t="shared" si="15"/>
        <v>24.098421703060367</v>
      </c>
      <c r="V65" s="106">
        <f t="shared" si="16"/>
        <v>182.25066295819622</v>
      </c>
      <c r="W65" s="106">
        <f>V65*Constants!$D$23</f>
        <v>18.225066295819623</v>
      </c>
      <c r="X65" s="106">
        <f t="shared" si="14"/>
        <v>174.35349167797389</v>
      </c>
      <c r="Y65" s="101">
        <f>X65*(1+Constants!$D$20)^-F65</f>
        <v>115.03421737899093</v>
      </c>
    </row>
    <row r="66" spans="6:25" x14ac:dyDescent="0.3">
      <c r="F66" s="103">
        <v>22</v>
      </c>
      <c r="G66" s="110">
        <f>G65*(1-Constants!$D$11)</f>
        <v>0.89558699073387826</v>
      </c>
      <c r="H66" s="105">
        <f>$C$17*(G66-Constants!$N$16)</f>
        <v>634.26976543264152</v>
      </c>
      <c r="I66" s="105">
        <f>Consumption!$C$2-'Analysis (A)'!H66</f>
        <v>7665.7302345673588</v>
      </c>
      <c r="J66" s="106">
        <f>I66*'Grid Power'!K39</f>
        <v>2425.4261770416738</v>
      </c>
      <c r="K66" s="106">
        <v>0</v>
      </c>
      <c r="L66" s="107">
        <f>L65*(1+Constants!$D$20)</f>
        <v>6.1839186831035224</v>
      </c>
      <c r="M66" s="106">
        <v>0</v>
      </c>
      <c r="N66" s="106">
        <v>0</v>
      </c>
      <c r="O66" s="107">
        <v>0</v>
      </c>
      <c r="P66" s="106">
        <f t="shared" si="22"/>
        <v>0</v>
      </c>
      <c r="Q66" s="106">
        <f t="shared" si="20"/>
        <v>-2425.4261770416738</v>
      </c>
      <c r="R66" s="106">
        <f>'Analysis (A)'!Q66+'Analysis (Nothing)'!D27</f>
        <v>200.69471040032249</v>
      </c>
      <c r="S66" s="106">
        <f t="shared" si="21"/>
        <v>0</v>
      </c>
      <c r="T66" s="106">
        <f>U65*Configurations!$G$6</f>
        <v>7.2295265109181095</v>
      </c>
      <c r="U66" s="106">
        <f t="shared" si="15"/>
        <v>16.868895192142258</v>
      </c>
      <c r="V66" s="106">
        <f t="shared" si="16"/>
        <v>193.46518388940439</v>
      </c>
      <c r="W66" s="106">
        <f>V66*Constants!$D$23</f>
        <v>19.346518388940439</v>
      </c>
      <c r="X66" s="106">
        <f t="shared" si="14"/>
        <v>181.34819201138205</v>
      </c>
      <c r="Y66" s="101">
        <f>X66*(1+Constants!$D$20)^-F66</f>
        <v>117.30308971033814</v>
      </c>
    </row>
    <row r="67" spans="6:25" x14ac:dyDescent="0.3">
      <c r="F67" s="103">
        <v>23</v>
      </c>
      <c r="G67" s="110">
        <f>G66*(1-Constants!$D$11)</f>
        <v>0.89110905578020883</v>
      </c>
      <c r="H67" s="105">
        <f>$C$17*(G67-Constants!$N$16)</f>
        <v>631.02597722799271</v>
      </c>
      <c r="I67" s="105">
        <f>Consumption!$C$2-'Analysis (A)'!H67</f>
        <v>7668.9740227720076</v>
      </c>
      <c r="J67" s="106">
        <f>I67*'Grid Power'!K40</f>
        <v>2541.9176949107136</v>
      </c>
      <c r="K67" s="106">
        <v>0</v>
      </c>
      <c r="L67" s="107">
        <f>L66*(1+Constants!$D$20)</f>
        <v>6.3075970567655926</v>
      </c>
      <c r="M67" s="106">
        <v>0</v>
      </c>
      <c r="N67" s="106">
        <v>0</v>
      </c>
      <c r="O67" s="107">
        <v>0</v>
      </c>
      <c r="P67" s="106">
        <f t="shared" si="22"/>
        <v>0</v>
      </c>
      <c r="Q67" s="106">
        <f t="shared" si="20"/>
        <v>-2541.9176949107136</v>
      </c>
      <c r="R67" s="106">
        <f>'Analysis (A)'!Q67+'Analysis (Nothing)'!D28</f>
        <v>209.16980151565804</v>
      </c>
      <c r="S67" s="106">
        <f t="shared" si="21"/>
        <v>0</v>
      </c>
      <c r="T67" s="106">
        <f>U66*Configurations!$G$6</f>
        <v>5.0606685576426775</v>
      </c>
      <c r="U67" s="106">
        <f t="shared" si="15"/>
        <v>11.808226634499579</v>
      </c>
      <c r="V67" s="106">
        <f t="shared" si="16"/>
        <v>204.10913295801535</v>
      </c>
      <c r="W67" s="106">
        <f>V67*Constants!$D$23</f>
        <v>20.410913295801535</v>
      </c>
      <c r="X67" s="106">
        <f t="shared" si="14"/>
        <v>188.75888821985649</v>
      </c>
      <c r="Y67" s="101">
        <f>X67*(1+Constants!$D$20)^-F67</f>
        <v>119.70256598264591</v>
      </c>
    </row>
    <row r="68" spans="6:25" x14ac:dyDescent="0.3">
      <c r="F68" s="103">
        <v>24</v>
      </c>
      <c r="G68" s="110">
        <f>G67*(1-Constants!$D$11)</f>
        <v>0.88665351050130781</v>
      </c>
      <c r="H68" s="105">
        <f>$C$17*(G68-Constants!$N$16)</f>
        <v>627.79840796436713</v>
      </c>
      <c r="I68" s="105">
        <f>Consumption!$C$2-'Analysis (A)'!H68</f>
        <v>7672.2015920356325</v>
      </c>
      <c r="J68" s="106">
        <f>I68*'Grid Power'!K41</f>
        <v>2664.2101512687409</v>
      </c>
      <c r="K68" s="106">
        <v>0</v>
      </c>
      <c r="L68" s="107">
        <f>L67*(1+Constants!$D$20)</f>
        <v>6.4337489979009046</v>
      </c>
      <c r="M68" s="106">
        <v>0</v>
      </c>
      <c r="N68" s="106">
        <v>0</v>
      </c>
      <c r="O68" s="107">
        <v>0</v>
      </c>
      <c r="P68" s="106">
        <f t="shared" si="22"/>
        <v>0</v>
      </c>
      <c r="Q68" s="106">
        <f t="shared" si="20"/>
        <v>-2664.2101512687409</v>
      </c>
      <c r="R68" s="106">
        <f>'Analysis (A)'!Q68+'Analysis (Nothing)'!D29</f>
        <v>218.02000896215577</v>
      </c>
      <c r="S68" s="106">
        <f t="shared" si="21"/>
        <v>0</v>
      </c>
      <c r="T68" s="106">
        <f>U67*Configurations!$G$6</f>
        <v>3.5424679903498739</v>
      </c>
      <c r="U68" s="106">
        <f t="shared" si="15"/>
        <v>8.265758644149706</v>
      </c>
      <c r="V68" s="106">
        <f t="shared" si="16"/>
        <v>214.47754097180589</v>
      </c>
      <c r="W68" s="106">
        <f>V68*Constants!$D$23</f>
        <v>21.447754097180592</v>
      </c>
      <c r="X68" s="106">
        <f t="shared" si="14"/>
        <v>196.57225486497518</v>
      </c>
      <c r="Y68" s="101">
        <f>X68*(1+Constants!$D$20)^-F68</f>
        <v>122.2131947821462</v>
      </c>
    </row>
    <row r="69" spans="6:25" x14ac:dyDescent="0.3">
      <c r="F69" s="103">
        <v>25</v>
      </c>
      <c r="G69" s="110">
        <f>G68*(1-Constants!$D$11)</f>
        <v>0.8822202429488013</v>
      </c>
      <c r="H69" s="105">
        <f>$C$17*(G69-Constants!$N$16)</f>
        <v>624.58697654705975</v>
      </c>
      <c r="I69" s="105">
        <f>Consumption!$C$2-'Analysis (A)'!H69</f>
        <v>7675.4130234529403</v>
      </c>
      <c r="J69" s="106">
        <f>I69*'Grid Power'!K42</f>
        <v>2792.5972737394322</v>
      </c>
      <c r="K69" s="106">
        <v>0</v>
      </c>
      <c r="L69" s="107">
        <f>L68*(1+Constants!$D$20)</f>
        <v>6.5624239778589226</v>
      </c>
      <c r="M69" s="106">
        <v>0</v>
      </c>
      <c r="N69" s="106">
        <v>0</v>
      </c>
      <c r="O69" s="107">
        <v>0</v>
      </c>
      <c r="P69" s="106">
        <f t="shared" si="22"/>
        <v>0</v>
      </c>
      <c r="Q69" s="106">
        <f t="shared" si="20"/>
        <v>-2792.5972737394322</v>
      </c>
      <c r="R69" s="106">
        <f>'Analysis (A)'!Q69+'Analysis (Nothing)'!D30</f>
        <v>227.26224458272918</v>
      </c>
      <c r="S69" s="106">
        <f t="shared" si="21"/>
        <v>0</v>
      </c>
      <c r="T69" s="106">
        <f>U68*Configurations!$G$6</f>
        <v>2.4797275932449119</v>
      </c>
      <c r="U69" s="106">
        <f t="shared" si="15"/>
        <v>5.7860310509047945</v>
      </c>
      <c r="V69" s="106">
        <f t="shared" si="16"/>
        <v>224.78251698948426</v>
      </c>
      <c r="W69" s="106">
        <f>V69*Constants!$D$23</f>
        <v>22.478251698948426</v>
      </c>
      <c r="X69" s="106">
        <f t="shared" si="14"/>
        <v>204.78399288378074</v>
      </c>
      <c r="Y69" s="101">
        <f>X69*(1+Constants!$D$20)^-F69</f>
        <v>124.82216545270784</v>
      </c>
    </row>
    <row r="70" spans="6:25" x14ac:dyDescent="0.3">
      <c r="F70" s="103">
        <v>26</v>
      </c>
      <c r="G70" s="110">
        <f>G69*(1-Constants!$D$11)</f>
        <v>0.87780914173405733</v>
      </c>
      <c r="H70" s="105">
        <f>$C$17*(G70-Constants!$N$16)</f>
        <v>621.39160228683886</v>
      </c>
      <c r="I70" s="105">
        <f>Consumption!$C$2-'Analysis (A)'!H70</f>
        <v>7678.6083977131611</v>
      </c>
      <c r="J70" s="106">
        <f>I70*'Grid Power'!K43</f>
        <v>2927.3877694967555</v>
      </c>
      <c r="K70" s="106">
        <v>0</v>
      </c>
      <c r="L70" s="107">
        <f>L69*(1+Constants!$D$20)</f>
        <v>6.6936724574161008</v>
      </c>
      <c r="M70" s="106">
        <v>0</v>
      </c>
      <c r="N70" s="106">
        <v>0</v>
      </c>
      <c r="O70" s="107">
        <v>0</v>
      </c>
      <c r="P70" s="106">
        <f t="shared" si="22"/>
        <v>0</v>
      </c>
      <c r="Q70" s="106">
        <f t="shared" si="20"/>
        <v>-2927.3877694967555</v>
      </c>
      <c r="R70" s="106">
        <f>'Analysis (A)'!Q70+'Analysis (Nothing)'!D31</f>
        <v>236.91418781755465</v>
      </c>
      <c r="S70" s="106">
        <f t="shared" si="21"/>
        <v>0</v>
      </c>
      <c r="T70" s="106">
        <f>U69*Configurations!$G$6</f>
        <v>1.7358093152714382</v>
      </c>
      <c r="U70" s="106">
        <f t="shared" si="15"/>
        <v>4.0502217356333565</v>
      </c>
      <c r="V70" s="106">
        <f t="shared" si="16"/>
        <v>235.17837850228321</v>
      </c>
      <c r="W70" s="106">
        <f>V70*Constants!$D$23</f>
        <v>23.517837850228322</v>
      </c>
      <c r="X70" s="106">
        <f t="shared" si="14"/>
        <v>213.39634996732633</v>
      </c>
      <c r="Y70" s="101">
        <f>X70*(1+Constants!$D$20)^-F70</f>
        <v>127.52123819915859</v>
      </c>
    </row>
    <row r="71" spans="6:25" x14ac:dyDescent="0.3">
      <c r="F71" s="103">
        <v>27</v>
      </c>
      <c r="G71" s="110">
        <f>G70*(1-Constants!$D$11)</f>
        <v>0.87342009602538706</v>
      </c>
      <c r="H71" s="105">
        <f>$C$17*(G71-Constants!$N$16)</f>
        <v>618.21220489791904</v>
      </c>
      <c r="I71" s="105">
        <f>Consumption!$C$2-'Analysis (A)'!H71</f>
        <v>7681.787795102081</v>
      </c>
      <c r="J71" s="106">
        <f>I71*'Grid Power'!K44</f>
        <v>3068.9060913526523</v>
      </c>
      <c r="K71" s="106">
        <v>0</v>
      </c>
      <c r="L71" s="107">
        <f>L70*(1+Constants!$D$20)</f>
        <v>6.8275459065644233</v>
      </c>
      <c r="M71" s="106">
        <v>0</v>
      </c>
      <c r="N71" s="106">
        <v>0</v>
      </c>
      <c r="O71" s="107">
        <v>0</v>
      </c>
      <c r="P71" s="106">
        <f t="shared" si="22"/>
        <v>0</v>
      </c>
      <c r="Q71" s="106">
        <f t="shared" si="20"/>
        <v>-3068.9060913526523</v>
      </c>
      <c r="R71" s="106">
        <f>'Analysis (A)'!Q71+'Analysis (Nothing)'!D32</f>
        <v>246.99432062067535</v>
      </c>
      <c r="S71" s="106">
        <f t="shared" si="21"/>
        <v>0</v>
      </c>
      <c r="T71" s="106">
        <f>U70*Configurations!$G$6</f>
        <v>1.2150665206900069</v>
      </c>
      <c r="U71" s="106">
        <f t="shared" si="15"/>
        <v>2.8351552149433497</v>
      </c>
      <c r="V71" s="106">
        <f t="shared" si="16"/>
        <v>245.77925409998534</v>
      </c>
      <c r="W71" s="106">
        <f>V71*Constants!$D$23</f>
        <v>24.577925409998535</v>
      </c>
      <c r="X71" s="106">
        <f t="shared" si="14"/>
        <v>222.41639521067682</v>
      </c>
      <c r="Y71" s="101">
        <f>X71*(1+Constants!$D$20)^-F71</f>
        <v>130.30532390669518</v>
      </c>
    </row>
    <row r="72" spans="6:25" x14ac:dyDescent="0.3">
      <c r="F72" s="103">
        <v>28</v>
      </c>
      <c r="G72" s="110">
        <f>G71*(1-Constants!$D$11)</f>
        <v>0.86905299554526017</v>
      </c>
      <c r="H72" s="105">
        <f>$C$17*(G72-Constants!$N$16)</f>
        <v>615.04870449594387</v>
      </c>
      <c r="I72" s="105">
        <f>Consumption!$C$2-'Analysis (A)'!H72</f>
        <v>7684.9512955040564</v>
      </c>
      <c r="J72" s="106">
        <f>I72*'Grid Power'!K45</f>
        <v>3217.4932430606864</v>
      </c>
      <c r="K72" s="106">
        <v>0</v>
      </c>
      <c r="L72" s="107">
        <f>L71*(1+Constants!$D$20)</f>
        <v>6.9640968246957122</v>
      </c>
      <c r="M72" s="106">
        <v>0</v>
      </c>
      <c r="N72" s="106">
        <v>0</v>
      </c>
      <c r="O72" s="107">
        <v>0</v>
      </c>
      <c r="P72" s="106">
        <f t="shared" si="22"/>
        <v>0</v>
      </c>
      <c r="Q72" s="106">
        <f t="shared" si="20"/>
        <v>-3217.4932430606864</v>
      </c>
      <c r="R72" s="106">
        <f>'Analysis (A)'!Q72+'Analysis (Nothing)'!D33</f>
        <v>257.52196396566069</v>
      </c>
      <c r="S72" s="106">
        <f t="shared" si="21"/>
        <v>0</v>
      </c>
      <c r="T72" s="106">
        <f>U71*Configurations!$G$6</f>
        <v>0.85054656448300492</v>
      </c>
      <c r="U72" s="106">
        <f t="shared" si="15"/>
        <v>1.9846086504603448</v>
      </c>
      <c r="V72" s="106">
        <f t="shared" si="16"/>
        <v>256.67141740117768</v>
      </c>
      <c r="W72" s="106">
        <f>V72*Constants!$D$23</f>
        <v>25.667141740117771</v>
      </c>
      <c r="X72" s="106">
        <f t="shared" si="14"/>
        <v>231.85482222554293</v>
      </c>
      <c r="Y72" s="101">
        <f>X72*(1+Constants!$D$20)^-F72</f>
        <v>133.17150985227647</v>
      </c>
    </row>
    <row r="73" spans="6:25" x14ac:dyDescent="0.3">
      <c r="F73" s="103">
        <v>29</v>
      </c>
      <c r="G73" s="110">
        <f>G72*(1-Constants!$D$11)</f>
        <v>0.86470773056753381</v>
      </c>
      <c r="H73" s="105">
        <f>$C$17*(G73-Constants!$N$16)</f>
        <v>611.90102159597848</v>
      </c>
      <c r="I73" s="105">
        <f>Consumption!$C$2-'Analysis (A)'!H73</f>
        <v>7688.0989784040212</v>
      </c>
      <c r="J73" s="106">
        <f>I73*'Grid Power'!K46</f>
        <v>3373.5076258433805</v>
      </c>
      <c r="K73" s="106">
        <v>0</v>
      </c>
      <c r="L73" s="107">
        <f>L72*(1+Constants!$D$20)</f>
        <v>7.1033787611896262</v>
      </c>
      <c r="M73" s="106">
        <v>0</v>
      </c>
      <c r="N73" s="106">
        <v>0</v>
      </c>
      <c r="O73" s="107">
        <v>0</v>
      </c>
      <c r="P73" s="106">
        <f t="shared" si="22"/>
        <v>0</v>
      </c>
      <c r="Q73" s="106">
        <f t="shared" si="20"/>
        <v>-3373.5076258433805</v>
      </c>
      <c r="R73" s="106">
        <f>'Analysis (A)'!Q73+'Analysis (Nothing)'!D34</f>
        <v>268.5173160126219</v>
      </c>
      <c r="S73" s="106">
        <f t="shared" si="21"/>
        <v>0</v>
      </c>
      <c r="T73" s="106">
        <f>U72*Configurations!$G$6</f>
        <v>0.59538259513810343</v>
      </c>
      <c r="U73" s="106">
        <f t="shared" si="15"/>
        <v>1.3892260553222413</v>
      </c>
      <c r="V73" s="106">
        <f t="shared" si="16"/>
        <v>267.92193341748379</v>
      </c>
      <c r="W73" s="106">
        <f>V73*Constants!$D$23</f>
        <v>26.79219334174838</v>
      </c>
      <c r="X73" s="106">
        <f t="shared" si="14"/>
        <v>241.72512267087353</v>
      </c>
      <c r="Y73" s="101">
        <f>X73*(1+Constants!$D$20)^-F73</f>
        <v>136.1183914289212</v>
      </c>
    </row>
    <row r="74" spans="6:25" x14ac:dyDescent="0.3">
      <c r="F74" s="103">
        <v>30</v>
      </c>
      <c r="G74" s="110">
        <f>G73*(1-Constants!$D$11)</f>
        <v>0.86038419191469617</v>
      </c>
      <c r="H74" s="105">
        <f>$C$17*(G74-Constants!$N$16)</f>
        <v>608.76907711051297</v>
      </c>
      <c r="I74" s="105">
        <f>Consumption!$C$2-'Analysis (A)'!H74</f>
        <v>7691.2309228894874</v>
      </c>
      <c r="J74" s="106">
        <f>I74*'Grid Power'!K47</f>
        <v>3537.3259282537606</v>
      </c>
      <c r="K74" s="106">
        <v>0</v>
      </c>
      <c r="L74" s="107">
        <f>L73*(1+Constants!$D$20)</f>
        <v>7.2454463364134192</v>
      </c>
      <c r="M74" s="106">
        <f>IF(MOD(F74,Configurations!$I$7)=0,Configurations!$C$16,0)</f>
        <v>942.375</v>
      </c>
      <c r="N74" s="106">
        <v>0</v>
      </c>
      <c r="O74" s="107">
        <v>0</v>
      </c>
      <c r="P74" s="106">
        <f t="shared" si="22"/>
        <v>0</v>
      </c>
      <c r="Q74" s="106">
        <f t="shared" si="20"/>
        <v>-4479.7009282537601</v>
      </c>
      <c r="R74" s="106">
        <f>'Analysis (A)'!Q74+'Analysis (Nothing)'!D35</f>
        <v>-662.37350798782109</v>
      </c>
      <c r="S74" s="106">
        <f t="shared" si="21"/>
        <v>471.1875</v>
      </c>
      <c r="T74" s="106">
        <f>U73*Configurations!$G$6</f>
        <v>0.41676781659667239</v>
      </c>
      <c r="U74" s="106">
        <f t="shared" si="15"/>
        <v>472.15995823872555</v>
      </c>
      <c r="V74" s="106">
        <f t="shared" si="16"/>
        <v>0</v>
      </c>
      <c r="W74" s="106">
        <f>V74*Constants!$D$23</f>
        <v>0</v>
      </c>
      <c r="X74" s="106">
        <f t="shared" si="14"/>
        <v>-662.37350798782109</v>
      </c>
      <c r="Y74" s="101">
        <f>X74*(1+Constants!$D$20)^-F74</f>
        <v>-365.67713139157922</v>
      </c>
    </row>
    <row r="75" spans="6:25" x14ac:dyDescent="0.3">
      <c r="F75" s="103">
        <v>31</v>
      </c>
      <c r="G75" s="110">
        <f>G74*(1-Constants!$D$11)</f>
        <v>0.85608227095512268</v>
      </c>
      <c r="H75" s="105">
        <f>$C$17*(G75-Constants!$N$16)</f>
        <v>605.65279234747481</v>
      </c>
      <c r="I75" s="105">
        <f>Consumption!$C$2-'Analysis (A)'!H75</f>
        <v>7694.347207652525</v>
      </c>
      <c r="J75" s="106">
        <f>I75*'Grid Power'!K48</f>
        <v>3709.3440615896279</v>
      </c>
      <c r="K75" s="106">
        <v>0</v>
      </c>
      <c r="L75" s="107">
        <f>L74*(1+Constants!$D$20)</f>
        <v>7.3903552631416876</v>
      </c>
      <c r="M75" s="106">
        <v>0</v>
      </c>
      <c r="N75" s="106">
        <v>0</v>
      </c>
      <c r="O75" s="107">
        <v>0</v>
      </c>
      <c r="P75" s="106">
        <f t="shared" si="22"/>
        <v>0</v>
      </c>
      <c r="Q75" s="106">
        <f t="shared" ref="Q75:Q84" si="23">N75+P75-L75-K75-J75</f>
        <v>-3716.7344168527698</v>
      </c>
      <c r="R75" s="106">
        <f>'Analysis (A)'!Q75+'Analysis (Nothing)'!D36</f>
        <v>284.60621076226971</v>
      </c>
      <c r="S75" s="106">
        <f>IF(L75&lt;&gt;0,L75/2,IF(M74&lt;&gt;0,M74/2,0))</f>
        <v>3.6951776315708438</v>
      </c>
      <c r="T75" s="106">
        <f>U74*Configurations!$G$6</f>
        <v>141.64798747161765</v>
      </c>
      <c r="U75" s="106">
        <f t="shared" si="15"/>
        <v>334.20714839867878</v>
      </c>
      <c r="V75" s="106">
        <f t="shared" si="16"/>
        <v>142.95822329065206</v>
      </c>
      <c r="W75" s="106">
        <f>V75*Constants!$D$23</f>
        <v>14.295822329065206</v>
      </c>
      <c r="X75" s="106">
        <f t="shared" si="14"/>
        <v>270.31038843320448</v>
      </c>
      <c r="Y75" s="101">
        <f>X75*(1+Constants!$D$20)^-F75</f>
        <v>146.30440827727898</v>
      </c>
    </row>
    <row r="76" spans="6:25" x14ac:dyDescent="0.3">
      <c r="F76" s="103">
        <v>32</v>
      </c>
      <c r="G76" s="110">
        <f>G75*(1-Constants!$D$11)</f>
        <v>0.85180185960034704</v>
      </c>
      <c r="H76" s="105">
        <f>$C$17*(G76-Constants!$N$16)</f>
        <v>602.55208900825176</v>
      </c>
      <c r="I76" s="105">
        <f>Consumption!$C$2-'Analysis (A)'!H76</f>
        <v>7697.4479109917484</v>
      </c>
      <c r="J76" s="106">
        <f>I76*'Grid Power'!K49</f>
        <v>3889.9781431926785</v>
      </c>
      <c r="K76" s="106">
        <v>0</v>
      </c>
      <c r="L76" s="107">
        <f>L75*(1+Constants!$D$20)</f>
        <v>7.5381623684045218</v>
      </c>
      <c r="M76" s="106">
        <v>0</v>
      </c>
      <c r="N76" s="106">
        <v>0</v>
      </c>
      <c r="O76" s="107">
        <v>0</v>
      </c>
      <c r="P76" s="106">
        <f t="shared" si="22"/>
        <v>0</v>
      </c>
      <c r="Q76" s="106">
        <f t="shared" si="23"/>
        <v>-3897.5163055610828</v>
      </c>
      <c r="R76" s="106">
        <f>'Analysis (A)'!Q76+'Analysis (Nothing)'!D37</f>
        <v>296.9874521740021</v>
      </c>
      <c r="S76" s="106">
        <f t="shared" ref="S76:S84" si="24">IF(L76&lt;&gt;0,L76/2,IF(L75&lt;&gt;0,L75/2,0))</f>
        <v>3.7690811842022609</v>
      </c>
      <c r="T76" s="106">
        <f>U75*Configurations!$G$6</f>
        <v>100.26214451960364</v>
      </c>
      <c r="U76" s="106">
        <f t="shared" si="15"/>
        <v>237.71408506327742</v>
      </c>
      <c r="V76" s="106">
        <f t="shared" si="16"/>
        <v>196.72530765439848</v>
      </c>
      <c r="W76" s="106">
        <f>V76*Constants!$D$23</f>
        <v>19.672530765439848</v>
      </c>
      <c r="X76" s="106">
        <f t="shared" si="14"/>
        <v>277.31492140856227</v>
      </c>
      <c r="Y76" s="101">
        <f>X76*(1+Constants!$D$20)^-F76</f>
        <v>147.15253286180257</v>
      </c>
    </row>
    <row r="77" spans="6:25" x14ac:dyDescent="0.3">
      <c r="F77" s="103">
        <v>33</v>
      </c>
      <c r="G77" s="110">
        <f>G76*(1-Constants!$D$11)</f>
        <v>0.84754285030234533</v>
      </c>
      <c r="H77" s="105">
        <f>$C$17*(G77-Constants!$N$16)</f>
        <v>599.46688918572488</v>
      </c>
      <c r="I77" s="105">
        <f>Consumption!$C$2-'Analysis (A)'!H77</f>
        <v>7700.5331108142755</v>
      </c>
      <c r="J77" s="106">
        <f>I77*'Grid Power'!K50</f>
        <v>4079.6655300839143</v>
      </c>
      <c r="K77" s="106">
        <v>0</v>
      </c>
      <c r="L77" s="107">
        <f>L76*(1+Constants!$D$20)</f>
        <v>7.6889256157726127</v>
      </c>
      <c r="M77" s="106">
        <v>0</v>
      </c>
      <c r="N77" s="106">
        <v>0</v>
      </c>
      <c r="O77" s="107">
        <v>0</v>
      </c>
      <c r="P77" s="106">
        <f t="shared" si="22"/>
        <v>0</v>
      </c>
      <c r="Q77" s="106">
        <f t="shared" si="23"/>
        <v>-4087.3544556996867</v>
      </c>
      <c r="R77" s="106">
        <f>'Analysis (A)'!Q77+'Analysis (Nothing)'!D38</f>
        <v>309.92383647002316</v>
      </c>
      <c r="S77" s="106">
        <f t="shared" si="24"/>
        <v>3.8444628078863063</v>
      </c>
      <c r="T77" s="106">
        <f>U76*Configurations!$G$6</f>
        <v>71.314225518983221</v>
      </c>
      <c r="U77" s="106">
        <f t="shared" si="15"/>
        <v>170.24432235218052</v>
      </c>
      <c r="V77" s="106">
        <f t="shared" si="16"/>
        <v>238.60961095103994</v>
      </c>
      <c r="W77" s="106">
        <f>V77*Constants!$D$23</f>
        <v>23.860961095103995</v>
      </c>
      <c r="X77" s="106">
        <f t="shared" si="14"/>
        <v>286.06287537491914</v>
      </c>
      <c r="Y77" s="101">
        <f>X77*(1+Constants!$D$20)^-F77</f>
        <v>148.81812605293342</v>
      </c>
    </row>
    <row r="78" spans="6:25" x14ac:dyDescent="0.3">
      <c r="F78" s="103">
        <v>34</v>
      </c>
      <c r="G78" s="110">
        <f>G77*(1-Constants!$D$11)</f>
        <v>0.84330513605083357</v>
      </c>
      <c r="H78" s="105">
        <f>$C$17*(G78-Constants!$N$16)</f>
        <v>596.39711536231061</v>
      </c>
      <c r="I78" s="105">
        <f>Consumption!$C$2-'Analysis (A)'!H78</f>
        <v>7703.6028846376894</v>
      </c>
      <c r="J78" s="106">
        <f>I78*'Grid Power'!K51</f>
        <v>4278.8659055122971</v>
      </c>
      <c r="K78" s="106">
        <v>0</v>
      </c>
      <c r="L78" s="107">
        <f>L77*(1+Constants!$D$20)</f>
        <v>7.8427041280880649</v>
      </c>
      <c r="M78" s="106">
        <v>0</v>
      </c>
      <c r="N78" s="106">
        <v>0</v>
      </c>
      <c r="O78" s="107">
        <v>0</v>
      </c>
      <c r="P78" s="106">
        <f t="shared" si="22"/>
        <v>0</v>
      </c>
      <c r="Q78" s="106">
        <f t="shared" si="23"/>
        <v>-4286.7086096403855</v>
      </c>
      <c r="R78" s="106">
        <f>'Analysis (A)'!Q78+'Analysis (Nothing)'!D39</f>
        <v>323.44052476149773</v>
      </c>
      <c r="S78" s="106">
        <f t="shared" si="24"/>
        <v>3.9213520640440325</v>
      </c>
      <c r="T78" s="106">
        <f>U77*Configurations!$G$6</f>
        <v>51.073296705654151</v>
      </c>
      <c r="U78" s="106">
        <f t="shared" si="15"/>
        <v>123.09237771057042</v>
      </c>
      <c r="V78" s="106">
        <f t="shared" si="16"/>
        <v>272.36722805584355</v>
      </c>
      <c r="W78" s="106">
        <f>V78*Constants!$D$23</f>
        <v>27.236722805584357</v>
      </c>
      <c r="X78" s="106">
        <f t="shared" si="14"/>
        <v>296.20380195591338</v>
      </c>
      <c r="Y78" s="101">
        <f>X78*(1+Constants!$D$20)^-F78</f>
        <v>151.07228176316463</v>
      </c>
    </row>
    <row r="79" spans="6:25" x14ac:dyDescent="0.3">
      <c r="F79" s="103">
        <v>35</v>
      </c>
      <c r="G79" s="110">
        <f>G78*(1-Constants!$D$11)</f>
        <v>0.83908861037057936</v>
      </c>
      <c r="H79" s="105">
        <f>$C$17*(G79-Constants!$N$16)</f>
        <v>593.34269040801348</v>
      </c>
      <c r="I79" s="105">
        <f>Consumption!$C$2-'Analysis (A)'!H79</f>
        <v>7706.6573095919866</v>
      </c>
      <c r="J79" s="106">
        <f>I79*'Grid Power'!K52</f>
        <v>4488.0624211254944</v>
      </c>
      <c r="K79" s="106">
        <v>0</v>
      </c>
      <c r="L79" s="107">
        <f>L78*(1+Constants!$D$20)</f>
        <v>7.999558210649826</v>
      </c>
      <c r="M79" s="106">
        <v>0</v>
      </c>
      <c r="N79" s="106">
        <v>0</v>
      </c>
      <c r="O79" s="107">
        <v>0</v>
      </c>
      <c r="P79" s="106">
        <f t="shared" si="22"/>
        <v>0</v>
      </c>
      <c r="Q79" s="106">
        <f t="shared" si="23"/>
        <v>-4496.0619793361438</v>
      </c>
      <c r="R79" s="106">
        <f>'Analysis (A)'!Q79+'Analysis (Nothing)'!D40</f>
        <v>337.56382253704669</v>
      </c>
      <c r="S79" s="106">
        <f t="shared" si="24"/>
        <v>3.999779105324913</v>
      </c>
      <c r="T79" s="106">
        <f>U78*Configurations!$G$6</f>
        <v>36.927713313171125</v>
      </c>
      <c r="U79" s="106">
        <f t="shared" si="15"/>
        <v>90.164443502724211</v>
      </c>
      <c r="V79" s="106">
        <f t="shared" si="16"/>
        <v>300.63610922387556</v>
      </c>
      <c r="W79" s="106">
        <f>V79*Constants!$D$23</f>
        <v>30.063610922387557</v>
      </c>
      <c r="X79" s="106">
        <f t="shared" si="14"/>
        <v>307.50021161465912</v>
      </c>
      <c r="Y79" s="101">
        <f>X79*(1+Constants!$D$20)^-F79</f>
        <v>153.75859692115688</v>
      </c>
    </row>
    <row r="80" spans="6:25" x14ac:dyDescent="0.3">
      <c r="F80" s="103">
        <v>36</v>
      </c>
      <c r="G80" s="110">
        <f>G79*(1-Constants!$D$11)</f>
        <v>0.83489316731872643</v>
      </c>
      <c r="H80" s="105">
        <f>$C$17*(G80-Constants!$N$16)</f>
        <v>590.30353757848775</v>
      </c>
      <c r="I80" s="105">
        <f>Consumption!$C$2-'Analysis (A)'!H80</f>
        <v>7709.6964624215125</v>
      </c>
      <c r="J80" s="106">
        <f>I80*'Grid Power'!K53</f>
        <v>4707.7628976101914</v>
      </c>
      <c r="K80" s="106">
        <v>0</v>
      </c>
      <c r="L80" s="107">
        <f>L79*(1+Constants!$D$20)</f>
        <v>8.1595493748628218</v>
      </c>
      <c r="M80" s="106">
        <v>0</v>
      </c>
      <c r="N80" s="106">
        <v>0</v>
      </c>
      <c r="O80" s="107">
        <v>0</v>
      </c>
      <c r="P80" s="106">
        <f t="shared" si="22"/>
        <v>0</v>
      </c>
      <c r="Q80" s="106">
        <f t="shared" si="23"/>
        <v>-4715.9224469850542</v>
      </c>
      <c r="R80" s="106">
        <f>'Analysis (A)'!Q80+'Analysis (Nothing)'!D41</f>
        <v>352.32123175605193</v>
      </c>
      <c r="S80" s="106">
        <f t="shared" si="24"/>
        <v>4.0797746874314109</v>
      </c>
      <c r="T80" s="106">
        <f>U79*Configurations!$G$6</f>
        <v>27.049333050817264</v>
      </c>
      <c r="U80" s="106">
        <f t="shared" si="15"/>
        <v>67.194885139338353</v>
      </c>
      <c r="V80" s="106">
        <f t="shared" si="16"/>
        <v>325.27189870523466</v>
      </c>
      <c r="W80" s="106">
        <f>V80*Constants!$D$23</f>
        <v>32.527189870523465</v>
      </c>
      <c r="X80" s="106">
        <f t="shared" si="14"/>
        <v>319.79404188552849</v>
      </c>
      <c r="Y80" s="101">
        <f>X80*(1+Constants!$D$20)^-F80</f>
        <v>156.7704426770039</v>
      </c>
    </row>
    <row r="81" spans="6:25" x14ac:dyDescent="0.3">
      <c r="F81" s="103">
        <v>37</v>
      </c>
      <c r="G81" s="110">
        <f>G80*(1-Constants!$D$11)</f>
        <v>0.83071870148213278</v>
      </c>
      <c r="H81" s="105">
        <f>$C$17*(G81-Constants!$N$16)</f>
        <v>587.27958051310975</v>
      </c>
      <c r="I81" s="105">
        <f>Consumption!$C$2-'Analysis (A)'!H81</f>
        <v>7712.72041948689</v>
      </c>
      <c r="J81" s="106">
        <f>I81*'Grid Power'!K54</f>
        <v>4938.5010867952096</v>
      </c>
      <c r="K81" s="106">
        <v>0</v>
      </c>
      <c r="L81" s="107">
        <f>L80*(1+Constants!$D$20)</f>
        <v>8.3227403623600793</v>
      </c>
      <c r="M81" s="106">
        <v>0</v>
      </c>
      <c r="N81" s="106">
        <v>0</v>
      </c>
      <c r="O81" s="107">
        <v>0</v>
      </c>
      <c r="P81" s="106">
        <f t="shared" si="22"/>
        <v>0</v>
      </c>
      <c r="Q81" s="106">
        <f t="shared" si="23"/>
        <v>-4946.8238271575701</v>
      </c>
      <c r="R81" s="106">
        <f>'Analysis (A)'!Q81+'Analysis (Nothing)'!D42</f>
        <v>367.74150531310625</v>
      </c>
      <c r="S81" s="106">
        <f t="shared" si="24"/>
        <v>4.1613701811800397</v>
      </c>
      <c r="T81" s="106">
        <f>U80*Configurations!$G$6</f>
        <v>20.158465541801505</v>
      </c>
      <c r="U81" s="106">
        <f t="shared" si="15"/>
        <v>51.197789778716881</v>
      </c>
      <c r="V81" s="106">
        <f t="shared" si="16"/>
        <v>347.58303977130475</v>
      </c>
      <c r="W81" s="106">
        <f>V81*Constants!$D$23</f>
        <v>34.758303977130474</v>
      </c>
      <c r="X81" s="106">
        <f t="shared" si="14"/>
        <v>332.98320133597576</v>
      </c>
      <c r="Y81" s="101">
        <f>X81*(1+Constants!$D$20)^-F81</f>
        <v>160.03536664049051</v>
      </c>
    </row>
    <row r="82" spans="6:25" x14ac:dyDescent="0.3">
      <c r="F82" s="103">
        <v>38</v>
      </c>
      <c r="G82" s="110">
        <f>G81*(1-Constants!$D$11)</f>
        <v>0.82656510797472216</v>
      </c>
      <c r="H82" s="105">
        <f>$C$17*(G82-Constants!$N$16)</f>
        <v>584.27074323305862</v>
      </c>
      <c r="I82" s="105">
        <f>Consumption!$C$2-'Analysis (A)'!H82</f>
        <v>7715.729256766941</v>
      </c>
      <c r="J82" s="106">
        <f>I82*'Grid Power'!K55</f>
        <v>5180.8379983638697</v>
      </c>
      <c r="K82" s="106">
        <v>0</v>
      </c>
      <c r="L82" s="107">
        <f>L81*(1+Constants!$D$20)</f>
        <v>8.4891951696072816</v>
      </c>
      <c r="M82" s="106">
        <v>0</v>
      </c>
      <c r="N82" s="106">
        <v>0</v>
      </c>
      <c r="O82" s="107">
        <v>0</v>
      </c>
      <c r="P82" s="106">
        <f t="shared" si="22"/>
        <v>0</v>
      </c>
      <c r="Q82" s="106">
        <f t="shared" si="23"/>
        <v>-5189.3271935334769</v>
      </c>
      <c r="R82" s="106">
        <f>'Analysis (A)'!Q82+'Analysis (Nothing)'!D43</f>
        <v>383.85470398148118</v>
      </c>
      <c r="S82" s="106">
        <f t="shared" si="24"/>
        <v>4.2445975848036408</v>
      </c>
      <c r="T82" s="106">
        <f>U81*Configurations!$G$6</f>
        <v>15.359336933615063</v>
      </c>
      <c r="U82" s="106">
        <f t="shared" si="15"/>
        <v>40.083050429905462</v>
      </c>
      <c r="V82" s="106">
        <f t="shared" si="16"/>
        <v>368.49536704786613</v>
      </c>
      <c r="W82" s="106">
        <f>V82*Constants!$D$23</f>
        <v>36.849536704786615</v>
      </c>
      <c r="X82" s="106">
        <f t="shared" si="14"/>
        <v>347.00516727669458</v>
      </c>
      <c r="Y82" s="101">
        <f>X82*(1+Constants!$D$20)^-F82</f>
        <v>163.50438897625094</v>
      </c>
    </row>
    <row r="83" spans="6:25" x14ac:dyDescent="0.3">
      <c r="F83" s="103">
        <v>39</v>
      </c>
      <c r="G83" s="110">
        <f>G82*(1-Constants!$D$11)</f>
        <v>0.82243228243484856</v>
      </c>
      <c r="H83" s="105">
        <f>$C$17*(G83-Constants!$N$16)</f>
        <v>581.27695013940763</v>
      </c>
      <c r="I83" s="105">
        <f>Consumption!$C$2-'Analysis (A)'!H83</f>
        <v>7718.7230498605923</v>
      </c>
      <c r="J83" s="106">
        <f>I83*'Grid Power'!K56</f>
        <v>5435.3632944830415</v>
      </c>
      <c r="K83" s="106">
        <v>0</v>
      </c>
      <c r="L83" s="107">
        <f>L82*(1+Constants!$D$20)</f>
        <v>8.6589790729994274</v>
      </c>
      <c r="M83" s="106">
        <v>0</v>
      </c>
      <c r="N83" s="106">
        <v>0</v>
      </c>
      <c r="O83" s="107">
        <v>0</v>
      </c>
      <c r="P83" s="106">
        <f t="shared" si="22"/>
        <v>0</v>
      </c>
      <c r="Q83" s="106">
        <f t="shared" si="23"/>
        <v>-5444.022273556041</v>
      </c>
      <c r="R83" s="106">
        <f>'Analysis (A)'!Q83+'Analysis (Nothing)'!D44</f>
        <v>400.69225594839918</v>
      </c>
      <c r="S83" s="106">
        <f t="shared" si="24"/>
        <v>4.3294895364997137</v>
      </c>
      <c r="T83" s="106">
        <f>U82*Configurations!$G$6</f>
        <v>12.024915128971639</v>
      </c>
      <c r="U83" s="106">
        <f t="shared" si="15"/>
        <v>32.387624837433535</v>
      </c>
      <c r="V83" s="106">
        <f t="shared" si="16"/>
        <v>388.66734081942752</v>
      </c>
      <c r="W83" s="106">
        <f>V83*Constants!$D$23</f>
        <v>38.866734081942752</v>
      </c>
      <c r="X83" s="106">
        <f t="shared" si="14"/>
        <v>361.82552186645643</v>
      </c>
      <c r="Y83" s="101">
        <f>X83*(1+Constants!$D$20)^-F83</f>
        <v>167.14465703916861</v>
      </c>
    </row>
    <row r="84" spans="6:25" x14ac:dyDescent="0.3">
      <c r="F84" s="111">
        <v>40</v>
      </c>
      <c r="G84" s="112">
        <f>G83*(1-Constants!$D$11)</f>
        <v>0.81832012102267426</v>
      </c>
      <c r="H84" s="113">
        <f>$C$17*(G84-Constants!$N$16)</f>
        <v>578.29812601122501</v>
      </c>
      <c r="I84" s="113">
        <f>Consumption!$C$2-'Analysis (A)'!H84</f>
        <v>7721.7018739887753</v>
      </c>
      <c r="J84" s="114">
        <f>I84*'Grid Power'!K57</f>
        <v>5702.6967558256547</v>
      </c>
      <c r="K84" s="114">
        <v>0</v>
      </c>
      <c r="L84" s="115">
        <f>L83*(1+Constants!$D$20)</f>
        <v>8.8321586544594162</v>
      </c>
      <c r="M84" s="114">
        <v>0</v>
      </c>
      <c r="N84" s="114">
        <v>0</v>
      </c>
      <c r="O84" s="115">
        <v>0</v>
      </c>
      <c r="P84" s="114">
        <f>U84</f>
        <v>27.087416713433186</v>
      </c>
      <c r="Q84" s="114">
        <f t="shared" si="23"/>
        <v>-5684.4414977666811</v>
      </c>
      <c r="R84" s="114">
        <f>'Analysis (A)'!Q84+'Analysis (Nothing)'!D45</f>
        <v>445.3744357734613</v>
      </c>
      <c r="S84" s="114">
        <f t="shared" si="24"/>
        <v>4.4160793272297081</v>
      </c>
      <c r="T84" s="114">
        <f>U83*Configurations!$G$6</f>
        <v>9.7162874512300608</v>
      </c>
      <c r="U84" s="114">
        <f t="shared" si="15"/>
        <v>27.087416713433186</v>
      </c>
      <c r="V84" s="114">
        <f t="shared" si="16"/>
        <v>435.65814832223123</v>
      </c>
      <c r="W84" s="114">
        <f>V84*Constants!$D$23</f>
        <v>43.565814832223126</v>
      </c>
      <c r="X84" s="114">
        <f t="shared" si="14"/>
        <v>401.80862094123819</v>
      </c>
      <c r="Y84" s="109">
        <f>X84*(1+Constants!$D$20)^-F84</f>
        <v>181.97527316308464</v>
      </c>
    </row>
    <row r="86" spans="6:25" x14ac:dyDescent="0.3">
      <c r="F86" s="251" t="s">
        <v>218</v>
      </c>
      <c r="G86" s="251"/>
      <c r="H86" s="251"/>
      <c r="I86" s="251"/>
      <c r="J86" s="251"/>
      <c r="K86" s="251"/>
      <c r="L86" s="251"/>
      <c r="M86" s="155"/>
      <c r="R86" s="125"/>
    </row>
    <row r="87" spans="6:25" x14ac:dyDescent="0.3">
      <c r="F87" s="253" t="s">
        <v>186</v>
      </c>
      <c r="G87" s="253"/>
      <c r="H87" s="253"/>
      <c r="I87" s="253"/>
      <c r="J87" s="253"/>
      <c r="K87" s="253" t="s">
        <v>185</v>
      </c>
      <c r="L87" s="253"/>
      <c r="M87" s="158"/>
      <c r="R87" s="125"/>
    </row>
    <row r="88" spans="6:25" x14ac:dyDescent="0.3">
      <c r="F88" s="253" t="str">
        <f>F4</f>
        <v>Year</v>
      </c>
      <c r="G88" s="254" t="str">
        <f>G5</f>
        <v>Solar efficiency</v>
      </c>
      <c r="H88" s="253" t="s">
        <v>182</v>
      </c>
      <c r="I88" s="96" t="s">
        <v>183</v>
      </c>
      <c r="J88" s="96" t="s">
        <v>184</v>
      </c>
      <c r="K88" s="253" t="s">
        <v>187</v>
      </c>
      <c r="L88" s="96" t="s">
        <v>181</v>
      </c>
      <c r="M88" s="158"/>
    </row>
    <row r="89" spans="6:25" x14ac:dyDescent="0.3">
      <c r="F89" s="253"/>
      <c r="G89" s="254"/>
      <c r="H89" s="253"/>
      <c r="I89" s="96" t="s">
        <v>62</v>
      </c>
      <c r="J89" s="96" t="s">
        <v>59</v>
      </c>
      <c r="K89" s="253"/>
      <c r="L89" s="96" t="s">
        <v>59</v>
      </c>
      <c r="M89" s="158"/>
    </row>
    <row r="90" spans="6:25" x14ac:dyDescent="0.3">
      <c r="F90" s="103">
        <v>0</v>
      </c>
      <c r="G90" s="104">
        <v>1</v>
      </c>
      <c r="H90" s="104">
        <f>1-G90</f>
        <v>0</v>
      </c>
      <c r="I90" s="126">
        <f t="shared" ref="I90:I130" si="25">H90*$C$17</f>
        <v>0</v>
      </c>
      <c r="J90" s="106">
        <f>I90*'Grid Power'!K17</f>
        <v>0</v>
      </c>
      <c r="K90" s="118">
        <f>F90</f>
        <v>0</v>
      </c>
      <c r="L90" s="127">
        <v>0</v>
      </c>
      <c r="M90" s="159"/>
    </row>
    <row r="91" spans="6:25" x14ac:dyDescent="0.3">
      <c r="F91" s="103">
        <v>1</v>
      </c>
      <c r="G91" s="110">
        <f>G90*(1-Constants!$D$11)</f>
        <v>0.995</v>
      </c>
      <c r="H91" s="104">
        <f t="shared" ref="H91:H130" si="26">1-G91</f>
        <v>5.0000000000000044E-3</v>
      </c>
      <c r="I91" s="126">
        <f t="shared" si="25"/>
        <v>3.6219688742806997</v>
      </c>
      <c r="J91" s="106">
        <f>I91*'Grid Power'!K18</f>
        <v>0.44115814143534426</v>
      </c>
      <c r="K91" s="118">
        <f>F91</f>
        <v>1</v>
      </c>
      <c r="L91" s="127">
        <f>PMT(3%,K91,-NPV(3%,$J$91:J91))+Configurations!$C$15/'Analysis (A)'!K91</f>
        <v>1000.0411581414354</v>
      </c>
      <c r="M91" s="159"/>
      <c r="N91" s="128">
        <f>MIN($L$91:$L$130)</f>
        <v>45.770619885509873</v>
      </c>
    </row>
    <row r="92" spans="6:25" x14ac:dyDescent="0.3">
      <c r="F92" s="103">
        <v>2</v>
      </c>
      <c r="G92" s="110">
        <f>G91*(1-Constants!$D$11)</f>
        <v>0.99002500000000004</v>
      </c>
      <c r="H92" s="104">
        <f t="shared" si="26"/>
        <v>9.9749999999999561E-3</v>
      </c>
      <c r="I92" s="126">
        <f t="shared" si="25"/>
        <v>7.2258279041899582</v>
      </c>
      <c r="J92" s="106">
        <f>I92*'Grid Power'!K19</f>
        <v>0.92005397800335353</v>
      </c>
      <c r="K92" s="118">
        <f t="shared" ref="K92:K130" si="27">F92</f>
        <v>2</v>
      </c>
      <c r="L92" s="127">
        <f>PMT(3%,K92,-NPV(3%,$J$91:J92))+Configurations!$C$15/'Analysis (A)'!K92</f>
        <v>500.47706742053288</v>
      </c>
      <c r="M92" s="159"/>
      <c r="N92" s="128">
        <f t="shared" ref="N92:N130" si="28">MIN($L$91:$L$130)</f>
        <v>45.770619885509873</v>
      </c>
    </row>
    <row r="93" spans="6:25" x14ac:dyDescent="0.3">
      <c r="F93" s="103">
        <v>3</v>
      </c>
      <c r="G93" s="110">
        <f>G92*(1-Constants!$D$11)</f>
        <v>0.98507487500000002</v>
      </c>
      <c r="H93" s="104">
        <f t="shared" si="26"/>
        <v>1.4925124999999984E-2</v>
      </c>
      <c r="I93" s="126">
        <f t="shared" si="25"/>
        <v>10.811667638949725</v>
      </c>
      <c r="J93" s="106">
        <f>I93*'Grid Power'!K20</f>
        <v>1.4392845731043669</v>
      </c>
      <c r="K93" s="118">
        <f t="shared" si="27"/>
        <v>3</v>
      </c>
      <c r="L93" s="127">
        <f>PMT(3%,K93,-NPV(3%,$J$91:J93))+Configurations!$C$15/'Analysis (A)'!K93</f>
        <v>334.12366781283657</v>
      </c>
      <c r="M93" s="159"/>
      <c r="N93" s="128">
        <f t="shared" si="28"/>
        <v>45.770619885509873</v>
      </c>
    </row>
    <row r="94" spans="6:25" x14ac:dyDescent="0.3">
      <c r="F94" s="103">
        <v>4</v>
      </c>
      <c r="G94" s="110">
        <f>G93*(1-Constants!$D$11)</f>
        <v>0.98014950062500006</v>
      </c>
      <c r="H94" s="104">
        <f t="shared" si="26"/>
        <v>1.9850499374999941E-2</v>
      </c>
      <c r="I94" s="126">
        <f t="shared" si="25"/>
        <v>14.379578175035642</v>
      </c>
      <c r="J94" s="106">
        <f>I94*'Grid Power'!K21</f>
        <v>2.0016110789417412</v>
      </c>
      <c r="K94" s="118">
        <f t="shared" si="27"/>
        <v>4</v>
      </c>
      <c r="L94" s="127">
        <f>PMT(3%,K94,-NPV(3%,$J$91:J94))+Configurations!$C$15/'Analysis (A)'!K94</f>
        <v>251.08132540661947</v>
      </c>
      <c r="M94" s="159"/>
      <c r="N94" s="128">
        <f t="shared" si="28"/>
        <v>45.770619885509873</v>
      </c>
    </row>
    <row r="95" spans="6:25" x14ac:dyDescent="0.3">
      <c r="F95" s="103">
        <v>5</v>
      </c>
      <c r="G95" s="110">
        <f>G94*(1-Constants!$D$11)</f>
        <v>0.97524875312187509</v>
      </c>
      <c r="H95" s="104">
        <f t="shared" si="26"/>
        <v>2.4751246878124911E-2</v>
      </c>
      <c r="I95" s="126">
        <f t="shared" si="25"/>
        <v>17.929649158441137</v>
      </c>
      <c r="J95" s="106">
        <f>I95*'Grid Power'!K22</f>
        <v>2.6099685956527594</v>
      </c>
      <c r="K95" s="118">
        <f t="shared" si="27"/>
        <v>5</v>
      </c>
      <c r="L95" s="127">
        <f>PMT(3%,K95,-NPV(3%,$J$91:J95))+Configurations!$C$15/'Analysis (A)'!K95</f>
        <v>201.3704168821742</v>
      </c>
      <c r="M95" s="159"/>
      <c r="N95" s="128">
        <f t="shared" si="28"/>
        <v>45.770619885509873</v>
      </c>
    </row>
    <row r="96" spans="6:25" x14ac:dyDescent="0.3">
      <c r="F96" s="103">
        <v>6</v>
      </c>
      <c r="G96" s="110">
        <f>G95*(1-Constants!$D$11)</f>
        <v>0.97037250935626573</v>
      </c>
      <c r="H96" s="104">
        <f t="shared" si="26"/>
        <v>2.9627490643734267E-2</v>
      </c>
      <c r="I96" s="126">
        <f t="shared" si="25"/>
        <v>21.461969786929615</v>
      </c>
      <c r="J96" s="106">
        <f>I96*'Grid Power'!K23</f>
        <v>3.2674766028003259</v>
      </c>
      <c r="K96" s="118">
        <f t="shared" si="27"/>
        <v>6</v>
      </c>
      <c r="L96" s="127">
        <f>PMT(3%,K96,-NPV(3%,$J$91:J96))+Configurations!$C$15/'Analysis (A)'!K96</f>
        <v>168.33132977315168</v>
      </c>
      <c r="M96" s="159"/>
      <c r="N96" s="128">
        <f t="shared" si="28"/>
        <v>45.770619885509873</v>
      </c>
    </row>
    <row r="97" spans="6:22" x14ac:dyDescent="0.3">
      <c r="F97" s="103">
        <v>7</v>
      </c>
      <c r="G97" s="110">
        <f>G96*(1-Constants!$D$11)</f>
        <v>0.96552064680948435</v>
      </c>
      <c r="H97" s="104">
        <f t="shared" si="26"/>
        <v>3.4479353190515649E-2</v>
      </c>
      <c r="I97" s="126">
        <f t="shared" si="25"/>
        <v>24.976628812275703</v>
      </c>
      <c r="J97" s="106">
        <f>I97*'Grid Power'!K24</f>
        <v>3.9774499956340303</v>
      </c>
      <c r="K97" s="118">
        <f t="shared" si="27"/>
        <v>7</v>
      </c>
      <c r="L97" s="127">
        <f>PMT(3%,K97,-NPV(3%,$J$91:J97))+Configurations!$C$15/'Analysis (A)'!K97</f>
        <v>144.8244627334816</v>
      </c>
      <c r="M97" s="159"/>
      <c r="N97" s="128">
        <f t="shared" si="28"/>
        <v>45.770619885509873</v>
      </c>
    </row>
    <row r="98" spans="6:22" x14ac:dyDescent="0.3">
      <c r="F98" s="103">
        <v>8</v>
      </c>
      <c r="G98" s="110">
        <f>G97*(1-Constants!$D$11)</f>
        <v>0.96069304357543694</v>
      </c>
      <c r="H98" s="104">
        <f t="shared" si="26"/>
        <v>3.9306956424563055E-2</v>
      </c>
      <c r="I98" s="126">
        <f t="shared" si="25"/>
        <v>28.47371454249501</v>
      </c>
      <c r="J98" s="106">
        <f>I98*'Grid Power'!K25</f>
        <v>4.7434107603299074</v>
      </c>
      <c r="K98" s="118">
        <f t="shared" si="27"/>
        <v>8</v>
      </c>
      <c r="L98" s="127">
        <f>PMT(3%,K98,-NPV(3%,$J$91:J98))+Configurations!$C$15/'Analysis (A)'!K98</f>
        <v>127.2802258099899</v>
      </c>
      <c r="M98" s="159"/>
      <c r="N98" s="128">
        <f t="shared" si="28"/>
        <v>45.770619885509873</v>
      </c>
    </row>
    <row r="99" spans="6:22" x14ac:dyDescent="0.3">
      <c r="F99" s="103">
        <v>9</v>
      </c>
      <c r="G99" s="110">
        <f>G98*(1-Constants!$D$11)</f>
        <v>0.95588957835755972</v>
      </c>
      <c r="H99" s="104">
        <f t="shared" si="26"/>
        <v>4.4110421642440278E-2</v>
      </c>
      <c r="I99" s="126">
        <f t="shared" si="25"/>
        <v>31.953314844063257</v>
      </c>
      <c r="J99" s="106">
        <f>I99*'Grid Power'!K26</f>
        <v>5.569100324318069</v>
      </c>
      <c r="K99" s="118">
        <f t="shared" si="27"/>
        <v>9</v>
      </c>
      <c r="L99" s="127">
        <f>PMT(3%,K99,-NPV(3%,$J$91:J99))+Configurations!$C$15/'Analysis (A)'!K99</f>
        <v>113.71570738749952</v>
      </c>
      <c r="M99" s="159"/>
      <c r="N99" s="128">
        <f t="shared" si="28"/>
        <v>45.770619885509873</v>
      </c>
    </row>
    <row r="100" spans="6:22" x14ac:dyDescent="0.3">
      <c r="F100" s="103">
        <v>10</v>
      </c>
      <c r="G100" s="110">
        <f>G99*(1-Constants!$D$11)</f>
        <v>0.95111013046577186</v>
      </c>
      <c r="H100" s="104">
        <f t="shared" si="26"/>
        <v>4.8889869534228136E-2</v>
      </c>
      <c r="I100" s="126">
        <f t="shared" si="25"/>
        <v>35.415517144123683</v>
      </c>
      <c r="J100" s="106">
        <f>I100*'Grid Power'!K27</f>
        <v>6.458492619810638</v>
      </c>
      <c r="K100" s="118">
        <f t="shared" si="27"/>
        <v>10</v>
      </c>
      <c r="L100" s="127">
        <f>PMT(3%,K100,-NPV(3%,$J$91:J100))+Configurations!$C$15/'Analysis (A)'!K100</f>
        <v>102.94134113986868</v>
      </c>
      <c r="M100" s="159"/>
      <c r="N100" s="128">
        <f t="shared" si="28"/>
        <v>45.770619885509873</v>
      </c>
    </row>
    <row r="101" spans="6:22" x14ac:dyDescent="0.3">
      <c r="F101" s="103">
        <v>11</v>
      </c>
      <c r="G101" s="110">
        <f>G100*(1-Constants!$D$11)</f>
        <v>0.94635457981344295</v>
      </c>
      <c r="H101" s="104">
        <f t="shared" si="26"/>
        <v>5.3645420186557047E-2</v>
      </c>
      <c r="I101" s="126">
        <f t="shared" si="25"/>
        <v>38.860408432683798</v>
      </c>
      <c r="J101" s="106">
        <f>I101*'Grid Power'!K28</f>
        <v>7.4158079007560431</v>
      </c>
      <c r="K101" s="118">
        <f t="shared" si="27"/>
        <v>11</v>
      </c>
      <c r="L101" s="127">
        <f>PMT(3%,K101,-NPV(3%,$J$91:J101))+Configurations!$C$15/'Analysis (A)'!K101</f>
        <v>94.200300259819088</v>
      </c>
      <c r="M101" s="159"/>
      <c r="N101" s="128">
        <f t="shared" si="28"/>
        <v>45.770619885509873</v>
      </c>
    </row>
    <row r="102" spans="6:22" x14ac:dyDescent="0.3">
      <c r="F102" s="103">
        <v>12</v>
      </c>
      <c r="G102" s="110">
        <f>G101*(1-Constants!$D$11)</f>
        <v>0.94162280691437572</v>
      </c>
      <c r="H102" s="104">
        <f t="shared" si="26"/>
        <v>5.8377193085624279E-2</v>
      </c>
      <c r="I102" s="126">
        <f t="shared" si="25"/>
        <v>42.288075264801087</v>
      </c>
      <c r="J102" s="106">
        <f>I102*'Grid Power'!K29</f>
        <v>8.4455273556741997</v>
      </c>
      <c r="K102" s="118">
        <f t="shared" si="27"/>
        <v>12</v>
      </c>
      <c r="L102" s="127">
        <f>PMT(3%,K102,-NPV(3%,$J$91:J102))+Configurations!$C$15/'Analysis (A)'!K102</f>
        <v>86.988194725257586</v>
      </c>
      <c r="M102" s="159"/>
      <c r="N102" s="128">
        <f t="shared" si="28"/>
        <v>45.770619885509873</v>
      </c>
    </row>
    <row r="103" spans="6:22" x14ac:dyDescent="0.3">
      <c r="F103" s="103">
        <v>13</v>
      </c>
      <c r="G103" s="110">
        <f>G102*(1-Constants!$D$11)</f>
        <v>0.93691469287980389</v>
      </c>
      <c r="H103" s="104">
        <f t="shared" si="26"/>
        <v>6.308530712019611E-2</v>
      </c>
      <c r="I103" s="126">
        <f t="shared" si="25"/>
        <v>45.698603762757742</v>
      </c>
      <c r="J103" s="106">
        <f>I103*'Grid Power'!K30</f>
        <v>9.5524085611777885</v>
      </c>
      <c r="K103" s="118">
        <f t="shared" si="27"/>
        <v>13</v>
      </c>
      <c r="L103" s="127">
        <f>PMT(3%,K103,-NPV(3%,$J$91:J103))+Configurations!$C$15/'Analysis (A)'!K103</f>
        <v>80.95598535513578</v>
      </c>
      <c r="M103" s="159"/>
      <c r="N103" s="128">
        <f t="shared" si="28"/>
        <v>45.770619885509873</v>
      </c>
      <c r="U103" s="91"/>
      <c r="V103" s="91"/>
    </row>
    <row r="104" spans="6:22" x14ac:dyDescent="0.3">
      <c r="F104" s="103">
        <v>14</v>
      </c>
      <c r="G104" s="110">
        <f>G103*(1-Constants!$D$11)</f>
        <v>0.9322301194154049</v>
      </c>
      <c r="H104" s="104">
        <f t="shared" si="26"/>
        <v>6.7769880584595099E-2</v>
      </c>
      <c r="I104" s="126">
        <f t="shared" si="25"/>
        <v>49.092079618224631</v>
      </c>
      <c r="J104" s="106">
        <f>I104*'Grid Power'!K31</f>
        <v>10.74150182346388</v>
      </c>
      <c r="K104" s="118">
        <f t="shared" si="27"/>
        <v>14</v>
      </c>
      <c r="L104" s="127">
        <f>PMT(3%,K104,-NPV(3%,$J$91:J104))+Configurations!$C$15/'Analysis (A)'!K104</f>
        <v>75.854506263373494</v>
      </c>
      <c r="M104" s="159"/>
      <c r="N104" s="128">
        <f t="shared" si="28"/>
        <v>45.770619885509873</v>
      </c>
      <c r="R104" s="89"/>
      <c r="V104" s="129"/>
    </row>
    <row r="105" spans="6:22" x14ac:dyDescent="0.3">
      <c r="F105" s="103">
        <v>15</v>
      </c>
      <c r="G105" s="110">
        <f>G104*(1-Constants!$D$11)</f>
        <v>0.92756896881832784</v>
      </c>
      <c r="H105" s="104">
        <f t="shared" si="26"/>
        <v>7.2431031181672156E-2</v>
      </c>
      <c r="I105" s="126">
        <f t="shared" si="25"/>
        <v>52.46858809441423</v>
      </c>
      <c r="J105" s="106">
        <f>I105*'Grid Power'!K32</f>
        <v>12.018167457674199</v>
      </c>
      <c r="K105" s="118">
        <f t="shared" si="27"/>
        <v>15</v>
      </c>
      <c r="L105" s="127">
        <f>PMT(3%,K105,-NPV(3%,$J$91:J105))+Configurations!$C$15/'Analysis (A)'!K105</f>
        <v>71.50117846156634</v>
      </c>
      <c r="M105" s="159"/>
      <c r="N105" s="128">
        <f t="shared" si="28"/>
        <v>45.770619885509873</v>
      </c>
      <c r="V105" s="129"/>
    </row>
    <row r="106" spans="6:22" x14ac:dyDescent="0.3">
      <c r="F106" s="103">
        <v>16</v>
      </c>
      <c r="G106" s="110">
        <f>G105*(1-Constants!$D$11)</f>
        <v>0.92293112397423616</v>
      </c>
      <c r="H106" s="104">
        <f t="shared" si="26"/>
        <v>7.7068876025763844E-2</v>
      </c>
      <c r="I106" s="126">
        <f t="shared" si="25"/>
        <v>55.828214028222888</v>
      </c>
      <c r="J106" s="106">
        <f>I106*'Grid Power'!K33</f>
        <v>13.38809405777951</v>
      </c>
      <c r="K106" s="118">
        <f t="shared" si="27"/>
        <v>16</v>
      </c>
      <c r="L106" s="127">
        <f>PMT(3%,K106,-NPV(3%,$J$91:J106))+Configurations!$C$15/'Analysis (A)'!K106</f>
        <v>67.759205985909617</v>
      </c>
      <c r="M106" s="159"/>
      <c r="N106" s="128">
        <f t="shared" si="28"/>
        <v>45.770619885509873</v>
      </c>
      <c r="V106" s="129"/>
    </row>
    <row r="107" spans="6:22" x14ac:dyDescent="0.3">
      <c r="F107" s="103">
        <v>17</v>
      </c>
      <c r="G107" s="110">
        <f>G106*(1-Constants!$D$11)</f>
        <v>0.91831646835436498</v>
      </c>
      <c r="H107" s="104">
        <f t="shared" si="26"/>
        <v>8.1683531645635021E-2</v>
      </c>
      <c r="I107" s="126">
        <f t="shared" si="25"/>
        <v>59.171041832362469</v>
      </c>
      <c r="J107" s="106">
        <f>I107*'Grid Power'!K34</f>
        <v>14.857317812550715</v>
      </c>
      <c r="K107" s="118">
        <f t="shared" si="27"/>
        <v>17</v>
      </c>
      <c r="L107" s="127">
        <f>PMT(3%,K107,-NPV(3%,$J$91:J107))+Configurations!$C$15/'Analysis (A)'!K107</f>
        <v>64.524114688342777</v>
      </c>
      <c r="M107" s="159"/>
      <c r="N107" s="128">
        <f t="shared" si="28"/>
        <v>45.770619885509873</v>
      </c>
      <c r="R107" s="89"/>
      <c r="S107" s="89"/>
      <c r="V107" s="129"/>
    </row>
    <row r="108" spans="6:22" x14ac:dyDescent="0.3">
      <c r="F108" s="103">
        <v>18</v>
      </c>
      <c r="G108" s="110">
        <f>G107*(1-Constants!$D$11)</f>
        <v>0.91372488601259316</v>
      </c>
      <c r="H108" s="104">
        <f t="shared" si="26"/>
        <v>8.6275113987406837E-2</v>
      </c>
      <c r="I108" s="126">
        <f t="shared" si="25"/>
        <v>62.497155497481344</v>
      </c>
      <c r="J108" s="106">
        <f>I108*'Grid Power'!K35</f>
        <v>16.432242926244918</v>
      </c>
      <c r="K108" s="118">
        <f t="shared" si="27"/>
        <v>18</v>
      </c>
      <c r="L108" s="127">
        <f>PMT(3%,K108,-NPV(3%,$J$91:J108))+Configurations!$C$15/'Analysis (A)'!K108</f>
        <v>61.714778214207222</v>
      </c>
      <c r="M108" s="159"/>
      <c r="N108" s="128">
        <f t="shared" si="28"/>
        <v>45.770619885509873</v>
      </c>
      <c r="R108" s="89"/>
      <c r="S108" s="89"/>
      <c r="V108" s="130"/>
    </row>
    <row r="109" spans="6:22" x14ac:dyDescent="0.3">
      <c r="F109" s="103">
        <v>19</v>
      </c>
      <c r="G109" s="110">
        <f>G108*(1-Constants!$D$11)</f>
        <v>0.90915626158253016</v>
      </c>
      <c r="H109" s="104">
        <f t="shared" si="26"/>
        <v>9.0843738417469844E-2</v>
      </c>
      <c r="I109" s="126">
        <f t="shared" si="25"/>
        <v>65.806638594274659</v>
      </c>
      <c r="J109" s="106">
        <f>I109*'Grid Power'!K36</f>
        <v>18.119663205867379</v>
      </c>
      <c r="K109" s="118">
        <f t="shared" si="27"/>
        <v>19</v>
      </c>
      <c r="L109" s="127">
        <f>PMT(3%,K109,-NPV(3%,$J$91:J109))+Configurations!$C$15/'Analysis (A)'!K109</f>
        <v>59.267277995178439</v>
      </c>
      <c r="M109" s="159"/>
      <c r="N109" s="128">
        <f t="shared" si="28"/>
        <v>45.770619885509873</v>
      </c>
      <c r="R109" s="89"/>
      <c r="S109" s="89"/>
    </row>
    <row r="110" spans="6:22" x14ac:dyDescent="0.3">
      <c r="F110" s="103">
        <v>20</v>
      </c>
      <c r="G110" s="110">
        <f>G109*(1-Constants!$D$11)</f>
        <v>0.90461048027461755</v>
      </c>
      <c r="H110" s="104">
        <f t="shared" si="26"/>
        <v>9.5389519725382454E-2</v>
      </c>
      <c r="I110" s="126">
        <f t="shared" si="25"/>
        <v>69.099574275583961</v>
      </c>
      <c r="J110" s="106">
        <f>I110*'Grid Power'!K37</f>
        <v>19.926784880279062</v>
      </c>
      <c r="K110" s="118">
        <f t="shared" si="27"/>
        <v>20</v>
      </c>
      <c r="L110" s="127">
        <f>PMT(3%,K110,-NPV(3%,$J$91:J110))+Configurations!$C$15/'Analysis (A)'!K110</f>
        <v>57.130605354793907</v>
      </c>
      <c r="M110" s="159"/>
      <c r="N110" s="128">
        <f t="shared" si="28"/>
        <v>45.770619885509873</v>
      </c>
      <c r="R110" s="89"/>
      <c r="S110" s="89"/>
    </row>
    <row r="111" spans="6:22" x14ac:dyDescent="0.3">
      <c r="F111" s="103">
        <v>21</v>
      </c>
      <c r="G111" s="110">
        <f>G110*(1-Constants!$D$11)</f>
        <v>0.90008742787324447</v>
      </c>
      <c r="H111" s="104">
        <f t="shared" si="26"/>
        <v>9.9912572126755528E-2</v>
      </c>
      <c r="I111" s="126">
        <f t="shared" si="25"/>
        <v>72.376045278486728</v>
      </c>
      <c r="J111" s="106">
        <f>I111*'Grid Power'!K38</f>
        <v>21.861250720013594</v>
      </c>
      <c r="K111" s="118">
        <f t="shared" si="27"/>
        <v>21</v>
      </c>
      <c r="L111" s="127">
        <f>PMT(3%,K111,-NPV(3%,$J$91:J111))+Configurations!$C$15/'Analysis (A)'!K111</f>
        <v>55.263591691647846</v>
      </c>
      <c r="M111" s="159"/>
      <c r="N111" s="128">
        <f t="shared" si="28"/>
        <v>45.770619885509873</v>
      </c>
      <c r="R111" s="89"/>
      <c r="S111" s="89"/>
      <c r="U111" s="92"/>
      <c r="V111" s="131"/>
    </row>
    <row r="112" spans="6:22" x14ac:dyDescent="0.3">
      <c r="F112" s="103">
        <v>22</v>
      </c>
      <c r="G112" s="110">
        <f>G111*(1-Constants!$D$11)</f>
        <v>0.89558699073387826</v>
      </c>
      <c r="H112" s="104">
        <f t="shared" si="26"/>
        <v>0.10441300926612174</v>
      </c>
      <c r="I112" s="126">
        <f t="shared" si="25"/>
        <v>75.636133926374981</v>
      </c>
      <c r="J112" s="106">
        <f>I112*'Grid Power'!K39</f>
        <v>23.931165530456905</v>
      </c>
      <c r="K112" s="118">
        <f t="shared" si="27"/>
        <v>22</v>
      </c>
      <c r="L112" s="127">
        <f>PMT(3%,K112,-NPV(3%,$J$91:J112))+Configurations!$C$15/'Analysis (A)'!K112</f>
        <v>53.632675990814342</v>
      </c>
      <c r="M112" s="159"/>
      <c r="N112" s="128">
        <f t="shared" si="28"/>
        <v>45.770619885509873</v>
      </c>
      <c r="R112" s="89"/>
      <c r="S112" s="89"/>
    </row>
    <row r="113" spans="6:19" x14ac:dyDescent="0.3">
      <c r="F113" s="103">
        <v>23</v>
      </c>
      <c r="G113" s="110">
        <f>G112*(1-Constants!$D$11)</f>
        <v>0.89110905578020883</v>
      </c>
      <c r="H113" s="104">
        <f t="shared" si="26"/>
        <v>0.10889094421979117</v>
      </c>
      <c r="I113" s="126">
        <f t="shared" si="25"/>
        <v>78.879922131023832</v>
      </c>
      <c r="J113" s="106">
        <f>I113*'Grid Power'!K40</f>
        <v>26.145123095038755</v>
      </c>
      <c r="K113" s="118">
        <f t="shared" si="27"/>
        <v>23</v>
      </c>
      <c r="L113" s="127">
        <f>PMT(3%,K113,-NPV(3%,$J$91:J113))+Configurations!$C$15/'Analysis (A)'!K113</f>
        <v>52.210254826968907</v>
      </c>
      <c r="M113" s="159"/>
      <c r="N113" s="128">
        <f t="shared" si="28"/>
        <v>45.770619885509873</v>
      </c>
      <c r="R113" s="89"/>
      <c r="S113" s="89"/>
    </row>
    <row r="114" spans="6:19" x14ac:dyDescent="0.3">
      <c r="F114" s="103">
        <v>24</v>
      </c>
      <c r="G114" s="110">
        <f>G113*(1-Constants!$D$11)</f>
        <v>0.88665351050130781</v>
      </c>
      <c r="H114" s="104">
        <f t="shared" si="26"/>
        <v>0.11334648949869219</v>
      </c>
      <c r="I114" s="126">
        <f t="shared" si="25"/>
        <v>82.107491394649387</v>
      </c>
      <c r="J114" s="106">
        <f>I114*'Grid Power'!K41</f>
        <v>28.512234649297746</v>
      </c>
      <c r="K114" s="118">
        <f t="shared" si="27"/>
        <v>24</v>
      </c>
      <c r="L114" s="127">
        <f>PMT(3%,K114,-NPV(3%,$J$91:J114))+Configurations!$C$15/'Analysis (A)'!K114</f>
        <v>50.973444968248408</v>
      </c>
      <c r="M114" s="159"/>
      <c r="N114" s="128">
        <f t="shared" si="28"/>
        <v>45.770619885509873</v>
      </c>
      <c r="R114" s="89"/>
      <c r="S114" s="89"/>
    </row>
    <row r="115" spans="6:19" x14ac:dyDescent="0.3">
      <c r="F115" s="103">
        <v>25</v>
      </c>
      <c r="G115" s="110">
        <f>G114*(1-Constants!$D$11)</f>
        <v>0.8822202429488013</v>
      </c>
      <c r="H115" s="104">
        <f t="shared" si="26"/>
        <v>0.1177797570511987</v>
      </c>
      <c r="I115" s="126">
        <f t="shared" si="25"/>
        <v>85.31892281195681</v>
      </c>
      <c r="J115" s="106">
        <f>I115*'Grid Power'!K42</f>
        <v>31.042158971123214</v>
      </c>
      <c r="K115" s="118">
        <f t="shared" si="27"/>
        <v>25</v>
      </c>
      <c r="L115" s="127">
        <f>PMT(3%,K115,-NPV(3%,$J$91:J115))+Configurations!$C$15/'Analysis (A)'!K115</f>
        <v>49.903143055054962</v>
      </c>
      <c r="M115" s="159"/>
      <c r="N115" s="128">
        <f t="shared" si="28"/>
        <v>45.770619885509873</v>
      </c>
      <c r="R115" s="89"/>
      <c r="S115" s="89"/>
    </row>
    <row r="116" spans="6:19" x14ac:dyDescent="0.3">
      <c r="F116" s="103">
        <v>26</v>
      </c>
      <c r="G116" s="110">
        <f>G115*(1-Constants!$D$11)</f>
        <v>0.87780914173405733</v>
      </c>
      <c r="H116" s="104">
        <f t="shared" si="26"/>
        <v>0.12219085826594267</v>
      </c>
      <c r="I116" s="126">
        <f t="shared" si="25"/>
        <v>88.514297072177698</v>
      </c>
      <c r="J116" s="106">
        <f>I116*'Grid Power'!K43</f>
        <v>33.745134177159649</v>
      </c>
      <c r="K116" s="118">
        <f t="shared" si="27"/>
        <v>26</v>
      </c>
      <c r="L116" s="127">
        <f>PMT(3%,K116,-NPV(3%,$J$91:J116))+Configurations!$C$15/'Analysis (A)'!K116</f>
        <v>48.98330237446563</v>
      </c>
      <c r="M116" s="159"/>
      <c r="N116" s="128">
        <f t="shared" si="28"/>
        <v>45.770619885509873</v>
      </c>
      <c r="R116" s="89"/>
      <c r="S116" s="89"/>
    </row>
    <row r="117" spans="6:19" x14ac:dyDescent="0.3">
      <c r="F117" s="103">
        <v>27</v>
      </c>
      <c r="G117" s="110">
        <f>G116*(1-Constants!$D$11)</f>
        <v>0.87342009602538706</v>
      </c>
      <c r="H117" s="104">
        <f t="shared" si="26"/>
        <v>0.12657990397461294</v>
      </c>
      <c r="I117" s="126">
        <f t="shared" si="25"/>
        <v>91.693694461097493</v>
      </c>
      <c r="J117" s="106">
        <f>I117*'Grid Power'!K44</f>
        <v>36.632011320295994</v>
      </c>
      <c r="K117" s="118">
        <f t="shared" si="27"/>
        <v>27</v>
      </c>
      <c r="L117" s="127">
        <f>PMT(3%,K117,-NPV(3%,$J$91:J117))+Configurations!$C$15/'Analysis (A)'!K117</f>
        <v>48.200370448549023</v>
      </c>
      <c r="M117" s="159"/>
      <c r="N117" s="128">
        <f t="shared" si="28"/>
        <v>45.770619885509873</v>
      </c>
    </row>
    <row r="118" spans="6:19" x14ac:dyDescent="0.3">
      <c r="F118" s="103">
        <v>28</v>
      </c>
      <c r="G118" s="110">
        <f>G117*(1-Constants!$D$11)</f>
        <v>0.86905299554526017</v>
      </c>
      <c r="H118" s="104">
        <f t="shared" si="26"/>
        <v>0.13094700445473983</v>
      </c>
      <c r="I118" s="126">
        <f t="shared" si="25"/>
        <v>94.857194863072678</v>
      </c>
      <c r="J118" s="106">
        <f>I118*'Grid Power'!K45</f>
        <v>39.714289888366686</v>
      </c>
      <c r="K118" s="118">
        <f t="shared" si="27"/>
        <v>28</v>
      </c>
      <c r="L118" s="127">
        <f>PMT(3%,K118,-NPV(3%,$J$91:J118))+Configurations!$C$15/'Analysis (A)'!K118</f>
        <v>47.542847235431587</v>
      </c>
      <c r="M118" s="159"/>
      <c r="N118" s="128">
        <f t="shared" si="28"/>
        <v>45.770619885509873</v>
      </c>
    </row>
    <row r="119" spans="6:19" x14ac:dyDescent="0.3">
      <c r="F119" s="103">
        <v>29</v>
      </c>
      <c r="G119" s="110">
        <f>G118*(1-Constants!$D$11)</f>
        <v>0.86470773056753381</v>
      </c>
      <c r="H119" s="104">
        <f t="shared" si="26"/>
        <v>0.13529226943246619</v>
      </c>
      <c r="I119" s="126">
        <f t="shared" si="25"/>
        <v>98.004877763038053</v>
      </c>
      <c r="J119" s="106">
        <f>I119*'Grid Power'!K46</f>
        <v>43.004155309677209</v>
      </c>
      <c r="K119" s="118">
        <f t="shared" si="27"/>
        <v>29</v>
      </c>
      <c r="L119" s="127">
        <f>PMT(3%,K119,-NPV(3%,$J$91:J119))+Configurations!$C$15/'Analysis (A)'!K119</f>
        <v>47.000934831987365</v>
      </c>
      <c r="M119" s="159"/>
      <c r="N119" s="128">
        <f t="shared" si="28"/>
        <v>45.770619885509873</v>
      </c>
    </row>
    <row r="120" spans="6:19" x14ac:dyDescent="0.3">
      <c r="F120" s="103">
        <v>30</v>
      </c>
      <c r="G120" s="110">
        <f>G119*(1-Constants!$D$11)</f>
        <v>0.86038419191469617</v>
      </c>
      <c r="H120" s="104">
        <f t="shared" si="26"/>
        <v>0.13961580808530383</v>
      </c>
      <c r="I120" s="126">
        <f t="shared" si="25"/>
        <v>101.13682224850353</v>
      </c>
      <c r="J120" s="106">
        <f>I120*'Grid Power'!K47</f>
        <v>46.51451857675081</v>
      </c>
      <c r="K120" s="118">
        <f t="shared" si="27"/>
        <v>30</v>
      </c>
      <c r="L120" s="127">
        <f>PMT(3%,K120,-NPV(3%,$J$91:J120))+Configurations!$C$15/'Analysis (A)'!K120</f>
        <v>46.566257330047314</v>
      </c>
      <c r="M120" s="159"/>
      <c r="N120" s="128">
        <f t="shared" si="28"/>
        <v>45.770619885509873</v>
      </c>
    </row>
    <row r="121" spans="6:19" x14ac:dyDescent="0.3">
      <c r="F121" s="103">
        <v>31</v>
      </c>
      <c r="G121" s="110">
        <f>G120*(1-Constants!$D$11)</f>
        <v>0.85608227095512268</v>
      </c>
      <c r="H121" s="104">
        <f t="shared" si="26"/>
        <v>0.14391772904487732</v>
      </c>
      <c r="I121" s="126">
        <f t="shared" si="25"/>
        <v>104.25310701154172</v>
      </c>
      <c r="J121" s="106">
        <f>I121*'Grid Power'!K48</f>
        <v>50.259058105789869</v>
      </c>
      <c r="K121" s="118">
        <f t="shared" si="27"/>
        <v>31</v>
      </c>
      <c r="L121" s="127">
        <f>PMT(3%,K121,-NPV(3%,$J$91:J121))+Configurations!$C$15/'Analysis (A)'!K121</f>
        <v>46.231634987268194</v>
      </c>
      <c r="M121" s="159"/>
      <c r="N121" s="128">
        <f t="shared" si="28"/>
        <v>45.770619885509873</v>
      </c>
    </row>
    <row r="122" spans="6:19" x14ac:dyDescent="0.3">
      <c r="F122" s="103">
        <v>32</v>
      </c>
      <c r="G122" s="110">
        <f>G121*(1-Constants!$D$11)</f>
        <v>0.85180185960034704</v>
      </c>
      <c r="H122" s="104">
        <f t="shared" si="26"/>
        <v>0.14819814039965296</v>
      </c>
      <c r="I122" s="126">
        <f t="shared" si="25"/>
        <v>107.35381035076473</v>
      </c>
      <c r="J122" s="106">
        <f>I122*'Grid Power'!K49</f>
        <v>54.252263955771568</v>
      </c>
      <c r="K122" s="118">
        <f t="shared" si="27"/>
        <v>32</v>
      </c>
      <c r="L122" s="127">
        <f>PMT(3%,K122,-NPV(3%,$J$91:J122))+Configurations!$C$15/'Analysis (A)'!K122</f>
        <v>45.990900833570471</v>
      </c>
      <c r="M122" s="159"/>
      <c r="N122" s="128">
        <f t="shared" si="28"/>
        <v>45.770619885509873</v>
      </c>
    </row>
    <row r="123" spans="6:19" x14ac:dyDescent="0.3">
      <c r="F123" s="103">
        <v>33</v>
      </c>
      <c r="G123" s="110">
        <f>G122*(1-Constants!$D$11)</f>
        <v>0.84754285030234533</v>
      </c>
      <c r="H123" s="104">
        <f t="shared" si="26"/>
        <v>0.15245714969765467</v>
      </c>
      <c r="I123" s="126">
        <f t="shared" si="25"/>
        <v>110.43901017329159</v>
      </c>
      <c r="J123" s="106">
        <f>I123*'Grid Power'!K50</f>
        <v>58.50948453787268</v>
      </c>
      <c r="K123" s="118">
        <f t="shared" si="27"/>
        <v>33</v>
      </c>
      <c r="L123" s="127">
        <f>PMT(3%,K123,-NPV(3%,$J$91:J123))+Configurations!$C$15/'Analysis (A)'!K123</f>
        <v>45.838750713889468</v>
      </c>
      <c r="M123" s="159"/>
      <c r="N123" s="128">
        <f t="shared" si="28"/>
        <v>45.770619885509873</v>
      </c>
    </row>
    <row r="124" spans="6:19" x14ac:dyDescent="0.3">
      <c r="F124" s="103">
        <v>34</v>
      </c>
      <c r="G124" s="110">
        <f>G123*(1-Constants!$D$11)</f>
        <v>0.84330513605083357</v>
      </c>
      <c r="H124" s="104">
        <f t="shared" si="26"/>
        <v>0.15669486394916643</v>
      </c>
      <c r="I124" s="126">
        <f t="shared" si="25"/>
        <v>113.50878399670584</v>
      </c>
      <c r="J124" s="106">
        <f>I124*'Grid Power'!K51</f>
        <v>63.046975953058507</v>
      </c>
      <c r="K124" s="118">
        <f t="shared" si="27"/>
        <v>34</v>
      </c>
      <c r="L124" s="127">
        <f>PMT(3%,K124,-NPV(3%,$J$91:J124))+Configurations!$C$15/'Analysis (A)'!K124</f>
        <v>45.770619885509873</v>
      </c>
      <c r="M124" s="159"/>
      <c r="N124" s="128">
        <f t="shared" si="28"/>
        <v>45.770619885509873</v>
      </c>
    </row>
    <row r="125" spans="6:19" x14ac:dyDescent="0.3">
      <c r="F125" s="103">
        <v>35</v>
      </c>
      <c r="G125" s="110">
        <f>G124*(1-Constants!$D$11)</f>
        <v>0.83908861037057936</v>
      </c>
      <c r="H125" s="104">
        <f t="shared" si="26"/>
        <v>0.16091138962942064</v>
      </c>
      <c r="I125" s="126">
        <f t="shared" si="25"/>
        <v>116.56320895100305</v>
      </c>
      <c r="J125" s="106">
        <f>I125*'Grid Power'!K52</f>
        <v>67.881954103197614</v>
      </c>
      <c r="K125" s="118">
        <f t="shared" si="27"/>
        <v>35</v>
      </c>
      <c r="L125" s="127">
        <f>PMT(3%,K125,-NPV(3%,$J$91:J125))+Configurations!$C$15/'Analysis (A)'!K125</f>
        <v>45.782580861275299</v>
      </c>
      <c r="M125" s="159"/>
      <c r="N125" s="128">
        <f t="shared" si="28"/>
        <v>45.770619885509873</v>
      </c>
    </row>
    <row r="126" spans="6:19" x14ac:dyDescent="0.3">
      <c r="F126" s="103">
        <v>36</v>
      </c>
      <c r="G126" s="110">
        <f>G125*(1-Constants!$D$11)</f>
        <v>0.83489316731872643</v>
      </c>
      <c r="H126" s="104">
        <f t="shared" si="26"/>
        <v>0.16510683268127357</v>
      </c>
      <c r="I126" s="126">
        <f t="shared" si="25"/>
        <v>119.60236178052875</v>
      </c>
      <c r="J126" s="106">
        <f>I126*'Grid Power'!K53</f>
        <v>73.032649728997896</v>
      </c>
      <c r="K126" s="118">
        <f t="shared" si="27"/>
        <v>36</v>
      </c>
      <c r="L126" s="127">
        <f>PMT(3%,K126,-NPV(3%,$J$91:J126))+Configurations!$C$15/'Analysis (A)'!K126</f>
        <v>45.871258369731081</v>
      </c>
      <c r="M126" s="159"/>
      <c r="N126" s="128">
        <f t="shared" si="28"/>
        <v>45.770619885509873</v>
      </c>
    </row>
    <row r="127" spans="6:19" x14ac:dyDescent="0.3">
      <c r="F127" s="103">
        <v>37</v>
      </c>
      <c r="G127" s="110">
        <f>G126*(1-Constants!$D$11)</f>
        <v>0.83071870148213278</v>
      </c>
      <c r="H127" s="104">
        <f t="shared" si="26"/>
        <v>0.16928129851786722</v>
      </c>
      <c r="I127" s="126">
        <f t="shared" si="25"/>
        <v>122.62631884590681</v>
      </c>
      <c r="J127" s="106">
        <f>I127*'Grid Power'!K54</f>
        <v>78.51836653642053</v>
      </c>
      <c r="K127" s="118">
        <f t="shared" si="27"/>
        <v>37</v>
      </c>
      <c r="L127" s="127">
        <f>PMT(3%,K127,-NPV(3%,$J$91:J127))+Configurations!$C$15/'Analysis (A)'!K127</f>
        <v>46.033758196057164</v>
      </c>
      <c r="M127" s="159"/>
      <c r="N127" s="128">
        <f t="shared" si="28"/>
        <v>45.770619885509873</v>
      </c>
    </row>
    <row r="128" spans="6:19" x14ac:dyDescent="0.3">
      <c r="F128" s="103">
        <v>38</v>
      </c>
      <c r="G128" s="110">
        <f>G127*(1-Constants!$D$11)</f>
        <v>0.82656510797472216</v>
      </c>
      <c r="H128" s="104">
        <f t="shared" si="26"/>
        <v>0.17343489202527784</v>
      </c>
      <c r="I128" s="126">
        <f t="shared" si="25"/>
        <v>125.63515612595795</v>
      </c>
      <c r="J128" s="106">
        <f>I128*'Grid Power'!K55</f>
        <v>84.35954258204228</v>
      </c>
      <c r="K128" s="118">
        <f t="shared" si="27"/>
        <v>38</v>
      </c>
      <c r="L128" s="127">
        <f>PMT(3%,K128,-NPV(3%,$J$91:J128))+Configurations!$C$15/'Analysis (A)'!K128</f>
        <v>46.267607348994588</v>
      </c>
      <c r="M128" s="159"/>
      <c r="N128" s="128">
        <f t="shared" si="28"/>
        <v>45.770619885509873</v>
      </c>
    </row>
    <row r="129" spans="6:14" x14ac:dyDescent="0.3">
      <c r="F129" s="103">
        <v>39</v>
      </c>
      <c r="G129" s="110">
        <f>G128*(1-Constants!$D$11)</f>
        <v>0.82243228243484856</v>
      </c>
      <c r="H129" s="104">
        <f t="shared" si="26"/>
        <v>0.17756771756515144</v>
      </c>
      <c r="I129" s="126">
        <f t="shared" si="25"/>
        <v>128.62894921960884</v>
      </c>
      <c r="J129" s="106">
        <f>I129*'Grid Power'!K56</f>
        <v>90.577815097124414</v>
      </c>
      <c r="K129" s="118">
        <f t="shared" si="27"/>
        <v>39</v>
      </c>
      <c r="L129" s="127">
        <f>PMT(3%,K129,-NPV(3%,$J$91:J129))+Configurations!$C$15/'Analysis (A)'!K129</f>
        <v>46.570703523084113</v>
      </c>
      <c r="M129" s="159"/>
      <c r="N129" s="128">
        <f t="shared" si="28"/>
        <v>45.770619885509873</v>
      </c>
    </row>
    <row r="130" spans="6:14" x14ac:dyDescent="0.3">
      <c r="F130" s="111">
        <v>40</v>
      </c>
      <c r="G130" s="112">
        <f>G129*(1-Constants!$D$11)</f>
        <v>0.81832012102267426</v>
      </c>
      <c r="H130" s="132">
        <f t="shared" si="26"/>
        <v>0.18167987897732574</v>
      </c>
      <c r="I130" s="133">
        <f t="shared" si="25"/>
        <v>131.60777334779155</v>
      </c>
      <c r="J130" s="114">
        <f>I130*'Grid Power'!K57</f>
        <v>97.196088939936701</v>
      </c>
      <c r="K130" s="117">
        <f t="shared" si="27"/>
        <v>40</v>
      </c>
      <c r="L130" s="134">
        <f>PMT(3%,K130,-NPV(3%,$J$91:J130))+Configurations!$C$15/'Analysis (A)'!K130</f>
        <v>46.941272231725222</v>
      </c>
      <c r="M130" s="159"/>
      <c r="N130" s="128">
        <f t="shared" si="28"/>
        <v>45.770619885509873</v>
      </c>
    </row>
  </sheetData>
  <mergeCells count="33">
    <mergeCell ref="G4:I4"/>
    <mergeCell ref="F4:F6"/>
    <mergeCell ref="J4:M4"/>
    <mergeCell ref="J15:M15"/>
    <mergeCell ref="J41:M41"/>
    <mergeCell ref="X41:Y41"/>
    <mergeCell ref="X15:Y15"/>
    <mergeCell ref="Q4:W4"/>
    <mergeCell ref="X4:Y4"/>
    <mergeCell ref="Q41:W41"/>
    <mergeCell ref="F15:F17"/>
    <mergeCell ref="G15:I15"/>
    <mergeCell ref="Q15:W15"/>
    <mergeCell ref="G16:G17"/>
    <mergeCell ref="F40:Y40"/>
    <mergeCell ref="N41:P41"/>
    <mergeCell ref="N15:P15"/>
    <mergeCell ref="C4:D4"/>
    <mergeCell ref="B3:D3"/>
    <mergeCell ref="G5:G6"/>
    <mergeCell ref="F86:L86"/>
    <mergeCell ref="F88:F89"/>
    <mergeCell ref="G88:G89"/>
    <mergeCell ref="H88:H89"/>
    <mergeCell ref="F87:J87"/>
    <mergeCell ref="K87:L87"/>
    <mergeCell ref="K88:K89"/>
    <mergeCell ref="G42:G43"/>
    <mergeCell ref="F41:F43"/>
    <mergeCell ref="G41:I41"/>
    <mergeCell ref="F3:Y3"/>
    <mergeCell ref="F14:Y14"/>
    <mergeCell ref="N4:P4"/>
  </mergeCells>
  <pageMargins left="0.7" right="0.7" top="0.75" bottom="0.75" header="0.3" footer="0.3"/>
  <pageSetup scale="35" orientation="portrait" r:id="rId1"/>
  <rowBreaks count="1" manualBreakCount="1">
    <brk id="39" max="16383" man="1"/>
  </rowBreaks>
  <colBreaks count="1" manualBreakCount="1">
    <brk id="5" max="1048575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5594-D1BF-D44E-93B1-0FE20E755081}">
  <sheetPr>
    <tabColor rgb="FF00B050"/>
  </sheetPr>
  <dimension ref="B2:AI130"/>
  <sheetViews>
    <sheetView showGridLines="0" topLeftCell="A84" zoomScale="70" zoomScaleNormal="70" workbookViewId="0">
      <selection activeCell="N97" sqref="N97"/>
    </sheetView>
  </sheetViews>
  <sheetFormatPr defaultColWidth="10.85546875" defaultRowHeight="16.5" x14ac:dyDescent="0.3"/>
  <cols>
    <col min="1" max="1" width="10.85546875" style="168"/>
    <col min="2" max="2" width="15.85546875" style="168" customWidth="1"/>
    <col min="3" max="4" width="11" style="168" bestFit="1" customWidth="1"/>
    <col min="5" max="5" width="7" style="168" bestFit="1" customWidth="1"/>
    <col min="6" max="6" width="7.140625" style="168" bestFit="1" customWidth="1"/>
    <col min="7" max="7" width="5.28515625" style="168" customWidth="1"/>
    <col min="8" max="9" width="11" style="168" bestFit="1" customWidth="1"/>
    <col min="10" max="10" width="6.85546875" style="168" bestFit="1" customWidth="1"/>
    <col min="11" max="11" width="11.85546875" style="168" bestFit="1" customWidth="1"/>
    <col min="12" max="12" width="12.5703125" style="168" bestFit="1" customWidth="1"/>
    <col min="13" max="13" width="14.28515625" style="168" bestFit="1" customWidth="1"/>
    <col min="14" max="14" width="13.85546875" style="168" bestFit="1" customWidth="1"/>
    <col min="15" max="15" width="13.7109375" style="168" customWidth="1"/>
    <col min="16" max="16" width="11.5703125" style="168" bestFit="1" customWidth="1"/>
    <col min="17" max="17" width="13.140625" style="168" bestFit="1" customWidth="1"/>
    <col min="18" max="18" width="14.5703125" style="168" bestFit="1" customWidth="1"/>
    <col min="19" max="19" width="16" style="168" bestFit="1" customWidth="1"/>
    <col min="20" max="22" width="12.5703125" style="168" hidden="1" customWidth="1"/>
    <col min="23" max="24" width="10.7109375" style="168" hidden="1" customWidth="1"/>
    <col min="25" max="25" width="12.5703125" style="168" hidden="1" customWidth="1"/>
    <col min="26" max="26" width="12.85546875" style="168" hidden="1" customWidth="1"/>
    <col min="27" max="27" width="11" style="168" hidden="1" customWidth="1"/>
    <col min="28" max="28" width="12.5703125" style="168" hidden="1" customWidth="1"/>
    <col min="29" max="29" width="15.5703125" style="168" bestFit="1" customWidth="1"/>
    <col min="30" max="30" width="11" style="168" bestFit="1" customWidth="1"/>
    <col min="31" max="32" width="14.5703125" style="168" bestFit="1" customWidth="1"/>
    <col min="33" max="33" width="4.42578125" style="168" customWidth="1"/>
    <col min="34" max="34" width="12.42578125" style="168" bestFit="1" customWidth="1"/>
    <col min="35" max="35" width="13.42578125" style="168" bestFit="1" customWidth="1"/>
    <col min="36" max="16384" width="10.85546875" style="168"/>
  </cols>
  <sheetData>
    <row r="2" spans="2:35" ht="129" x14ac:dyDescent="2.2000000000000002">
      <c r="B2" s="167" t="s">
        <v>228</v>
      </c>
    </row>
    <row r="3" spans="2:35" x14ac:dyDescent="0.3">
      <c r="B3" s="260" t="s">
        <v>150</v>
      </c>
      <c r="C3" s="260"/>
      <c r="D3" s="260"/>
      <c r="E3" s="260"/>
      <c r="F3" s="260"/>
      <c r="H3" s="260" t="s">
        <v>201</v>
      </c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</row>
    <row r="4" spans="2:35" x14ac:dyDescent="0.3">
      <c r="B4" s="169" t="s">
        <v>94</v>
      </c>
      <c r="C4" s="170" t="s">
        <v>151</v>
      </c>
      <c r="D4" s="171" t="s">
        <v>217</v>
      </c>
      <c r="E4" s="169" t="s">
        <v>170</v>
      </c>
      <c r="F4" s="171" t="s">
        <v>243</v>
      </c>
      <c r="H4" s="260" t="s">
        <v>56</v>
      </c>
      <c r="I4" s="261" t="s">
        <v>116</v>
      </c>
      <c r="J4" s="262"/>
      <c r="K4" s="263"/>
      <c r="L4" s="261" t="s">
        <v>6</v>
      </c>
      <c r="M4" s="262"/>
      <c r="N4" s="262"/>
      <c r="O4" s="263"/>
      <c r="P4" s="262"/>
      <c r="Q4" s="263"/>
      <c r="R4" s="261" t="s">
        <v>174</v>
      </c>
      <c r="S4" s="263"/>
      <c r="T4" s="261" t="s">
        <v>229</v>
      </c>
      <c r="U4" s="262"/>
      <c r="V4" s="263"/>
      <c r="W4" s="261" t="s">
        <v>230</v>
      </c>
      <c r="X4" s="262"/>
      <c r="Y4" s="263"/>
      <c r="Z4" s="261" t="s">
        <v>247</v>
      </c>
      <c r="AA4" s="262"/>
      <c r="AB4" s="263"/>
      <c r="AC4" s="170"/>
      <c r="AD4" s="170"/>
      <c r="AE4" s="260" t="s">
        <v>197</v>
      </c>
      <c r="AF4" s="260"/>
      <c r="AH4" s="172" t="s">
        <v>194</v>
      </c>
      <c r="AI4" s="173">
        <f>IRR(AE7:AE12)</f>
        <v>0.42856462597771317</v>
      </c>
    </row>
    <row r="5" spans="2:35" x14ac:dyDescent="0.3">
      <c r="B5" s="174"/>
      <c r="C5" s="169" t="s">
        <v>117</v>
      </c>
      <c r="D5" s="169" t="s">
        <v>117</v>
      </c>
      <c r="E5" s="169" t="s">
        <v>117</v>
      </c>
      <c r="F5" s="169" t="s">
        <v>117</v>
      </c>
      <c r="G5" s="175"/>
      <c r="H5" s="260"/>
      <c r="I5" s="258" t="s">
        <v>153</v>
      </c>
      <c r="J5" s="176" t="s">
        <v>170</v>
      </c>
      <c r="K5" s="176" t="s">
        <v>243</v>
      </c>
      <c r="L5" s="176" t="s">
        <v>162</v>
      </c>
      <c r="M5" s="176" t="s">
        <v>139</v>
      </c>
      <c r="N5" s="176" t="s">
        <v>164</v>
      </c>
      <c r="O5" s="176" t="s">
        <v>226</v>
      </c>
      <c r="P5" s="176" t="s">
        <v>165</v>
      </c>
      <c r="Q5" s="176" t="s">
        <v>146</v>
      </c>
      <c r="R5" s="176" t="s">
        <v>174</v>
      </c>
      <c r="S5" s="176" t="s">
        <v>177</v>
      </c>
      <c r="T5" s="176" t="str">
        <f>"+CCA"</f>
        <v>+CCA</v>
      </c>
      <c r="U5" s="176" t="s">
        <v>8</v>
      </c>
      <c r="V5" s="176" t="s">
        <v>231</v>
      </c>
      <c r="W5" s="176" t="str">
        <f>"+CCA"</f>
        <v>+CCA</v>
      </c>
      <c r="X5" s="176" t="s">
        <v>8</v>
      </c>
      <c r="Y5" s="176" t="s">
        <v>231</v>
      </c>
      <c r="Z5" s="176" t="str">
        <f>"+CCA"</f>
        <v>+CCA</v>
      </c>
      <c r="AA5" s="176" t="s">
        <v>8</v>
      </c>
      <c r="AB5" s="176" t="s">
        <v>231</v>
      </c>
      <c r="AC5" s="176" t="s">
        <v>172</v>
      </c>
      <c r="AD5" s="176" t="s">
        <v>175</v>
      </c>
      <c r="AE5" s="176" t="s">
        <v>196</v>
      </c>
      <c r="AF5" s="176" t="s">
        <v>196</v>
      </c>
      <c r="AH5" s="172" t="s">
        <v>195</v>
      </c>
      <c r="AI5" s="177">
        <f>IRR(AF7:AF12)</f>
        <v>0.40055355488012734</v>
      </c>
    </row>
    <row r="6" spans="2:35" x14ac:dyDescent="0.3">
      <c r="B6" s="178">
        <v>1</v>
      </c>
      <c r="C6" s="179">
        <f>Weather!I8*Configurations!$C$31*(1-Constants!$N$9)</f>
        <v>165.15635832434137</v>
      </c>
      <c r="D6" s="179">
        <f>Consumption!D9</f>
        <v>751.57009042842367</v>
      </c>
      <c r="E6" s="179">
        <f>IF(D6-C6&gt;0, D6-C6,0)</f>
        <v>586.41373210408233</v>
      </c>
      <c r="F6" s="180">
        <f>IF(C6&gt;D6,C6-D6,0)</f>
        <v>0</v>
      </c>
      <c r="G6" s="175"/>
      <c r="H6" s="264"/>
      <c r="I6" s="259"/>
      <c r="J6" s="181" t="s">
        <v>62</v>
      </c>
      <c r="K6" s="181" t="s">
        <v>62</v>
      </c>
      <c r="L6" s="181" t="s">
        <v>59</v>
      </c>
      <c r="M6" s="181" t="s">
        <v>59</v>
      </c>
      <c r="N6" s="181" t="s">
        <v>59</v>
      </c>
      <c r="O6" s="181" t="s">
        <v>59</v>
      </c>
      <c r="P6" s="181" t="s">
        <v>59</v>
      </c>
      <c r="Q6" s="181" t="s">
        <v>59</v>
      </c>
      <c r="R6" s="181" t="s">
        <v>59</v>
      </c>
      <c r="S6" s="181" t="s">
        <v>59</v>
      </c>
      <c r="T6" s="181" t="s">
        <v>59</v>
      </c>
      <c r="U6" s="181" t="s">
        <v>59</v>
      </c>
      <c r="V6" s="181" t="s">
        <v>59</v>
      </c>
      <c r="W6" s="181" t="s">
        <v>59</v>
      </c>
      <c r="X6" s="181" t="s">
        <v>59</v>
      </c>
      <c r="Y6" s="181" t="s">
        <v>59</v>
      </c>
      <c r="Z6" s="181" t="s">
        <v>59</v>
      </c>
      <c r="AA6" s="181" t="s">
        <v>59</v>
      </c>
      <c r="AB6" s="181" t="s">
        <v>59</v>
      </c>
      <c r="AC6" s="181" t="s">
        <v>59</v>
      </c>
      <c r="AD6" s="181" t="s">
        <v>59</v>
      </c>
      <c r="AE6" s="181" t="s">
        <v>59</v>
      </c>
      <c r="AF6" s="182" t="s">
        <v>178</v>
      </c>
      <c r="AH6" s="183" t="s">
        <v>198</v>
      </c>
      <c r="AI6" s="184">
        <f>NPV(Constants!$D$21,'Analysis (B)'!AF8:AF12)+'Analysis (B)'!AF7</f>
        <v>1643.8646798184693</v>
      </c>
    </row>
    <row r="7" spans="2:35" x14ac:dyDescent="0.3">
      <c r="B7" s="178">
        <v>2</v>
      </c>
      <c r="C7" s="179">
        <f>Weather!I9*Configurations!$C$31*(1-Constants!$N$9)</f>
        <v>249.85525979868441</v>
      </c>
      <c r="D7" s="179">
        <f>Consumption!D10</f>
        <v>726.25333333333333</v>
      </c>
      <c r="E7" s="179">
        <f t="shared" ref="E7:E17" si="0">IF(D7-C7&gt;0, D7-C7,0)</f>
        <v>476.39807353464892</v>
      </c>
      <c r="F7" s="180">
        <f t="shared" ref="F7:F8" si="1">IF(C7&gt;D7,C7-D7,0)</f>
        <v>0</v>
      </c>
      <c r="H7" s="185">
        <v>0</v>
      </c>
      <c r="I7" s="186">
        <v>1</v>
      </c>
      <c r="J7" s="187">
        <v>0</v>
      </c>
      <c r="K7" s="187">
        <v>0</v>
      </c>
      <c r="L7" s="188">
        <v>0</v>
      </c>
      <c r="M7" s="189">
        <f>IF($C$20=0,Configurations!$C$34-Configurations!$C$35,0)</f>
        <v>0</v>
      </c>
      <c r="N7" s="189">
        <v>0</v>
      </c>
      <c r="O7" s="189">
        <v>0</v>
      </c>
      <c r="P7" s="189">
        <f>K7*'Grid Power'!$L$18</f>
        <v>0</v>
      </c>
      <c r="Q7" s="189">
        <v>0</v>
      </c>
      <c r="R7" s="188">
        <f>SUM(P7:Q7)-SUM(L7:O7)</f>
        <v>0</v>
      </c>
      <c r="S7" s="188">
        <f>R7+'Analysis (Nothing)'!D5</f>
        <v>0</v>
      </c>
      <c r="T7" s="188">
        <f>Configurations!$C$47/2</f>
        <v>5120.5</v>
      </c>
      <c r="U7" s="188">
        <f>0</f>
        <v>0</v>
      </c>
      <c r="V7" s="188">
        <f>U7+T7</f>
        <v>5120.5</v>
      </c>
      <c r="W7" s="188">
        <f>Configurations!$D$47/2</f>
        <v>837.9</v>
      </c>
      <c r="X7" s="188">
        <f>0</f>
        <v>0</v>
      </c>
      <c r="Y7" s="188">
        <f>X7+W7</f>
        <v>837.9</v>
      </c>
      <c r="Z7" s="188">
        <f>Configurations!$E$47/2</f>
        <v>1303.4000000000001</v>
      </c>
      <c r="AA7" s="189">
        <v>0</v>
      </c>
      <c r="AB7" s="188">
        <f>Z7-AA7</f>
        <v>1303.4000000000001</v>
      </c>
      <c r="AC7" s="189">
        <f>IF(S7&lt;0, 0,S7-AA7-X7-U7)</f>
        <v>0</v>
      </c>
      <c r="AD7" s="188">
        <f>AC7*Constants!$D$23</f>
        <v>0</v>
      </c>
      <c r="AE7" s="188">
        <f t="shared" ref="AE7:AE12" si="2">S7-AD7</f>
        <v>0</v>
      </c>
      <c r="AF7" s="190">
        <f>AE7*(1+Constants!$D$20)^-H7</f>
        <v>0</v>
      </c>
      <c r="AH7" s="172" t="s">
        <v>199</v>
      </c>
      <c r="AI7" s="191">
        <f>PMT(Constants!$D$21,5,-'Analysis (B)'!AI6)</f>
        <v>358.94536760230704</v>
      </c>
    </row>
    <row r="8" spans="2:35" x14ac:dyDescent="0.3">
      <c r="B8" s="178">
        <v>3</v>
      </c>
      <c r="C8" s="179">
        <f>Weather!I10*Configurations!$C$31*(1-Constants!$N$9)</f>
        <v>454.13047553314181</v>
      </c>
      <c r="D8" s="179">
        <f>Consumption!D11</f>
        <v>691.67</v>
      </c>
      <c r="E8" s="179">
        <f t="shared" si="0"/>
        <v>237.53952446685815</v>
      </c>
      <c r="F8" s="180">
        <f t="shared" si="1"/>
        <v>0</v>
      </c>
      <c r="H8" s="178">
        <v>1</v>
      </c>
      <c r="I8" s="192">
        <f>I7*(1-Constants!$D$11)</f>
        <v>0.995</v>
      </c>
      <c r="J8" s="179">
        <f>$E$18*(2-I8)</f>
        <v>2498.0417736620489</v>
      </c>
      <c r="K8" s="179">
        <f>$F$18*I8</f>
        <v>3224.293411383916</v>
      </c>
      <c r="L8" s="193">
        <f>IF(J8*'Grid Power'!K18&lt;0,0,J8*'Grid Power'!K18)</f>
        <v>304.2630967709398</v>
      </c>
      <c r="M8" s="194">
        <f>IF($C$20=5,Configurations!$F$34,IF($C$20=15,Configurations!$F$35,0))</f>
        <v>1360.3531010425304</v>
      </c>
      <c r="N8" s="194">
        <v>50</v>
      </c>
      <c r="O8" s="194">
        <v>0</v>
      </c>
      <c r="P8" s="194">
        <f>K8*'Grid Power'!L18</f>
        <v>328.87727987818374</v>
      </c>
      <c r="Q8" s="194"/>
      <c r="R8" s="193">
        <f>SUM(P8:Q8)-SUM(L8:O8)</f>
        <v>-1385.7389179352863</v>
      </c>
      <c r="S8" s="193">
        <f>R8+'Analysis (Nothing)'!D6</f>
        <v>-374.78870070952621</v>
      </c>
      <c r="T8" s="193">
        <f>Configurations!$C$47/2</f>
        <v>5120.5</v>
      </c>
      <c r="U8" s="193">
        <f>V7*Configurations!$C$48</f>
        <v>1536.1499999999999</v>
      </c>
      <c r="V8" s="193">
        <f>V7+T8-U8</f>
        <v>8704.85</v>
      </c>
      <c r="W8" s="193">
        <f>Configurations!$D$47/2</f>
        <v>837.9</v>
      </c>
      <c r="X8" s="193">
        <f>Y7*Configurations!$D$48</f>
        <v>83.79</v>
      </c>
      <c r="Y8" s="193">
        <f>Y7+W8-X8</f>
        <v>1592.01</v>
      </c>
      <c r="Z8" s="193">
        <f>Configurations!$E$47/2</f>
        <v>1303.4000000000001</v>
      </c>
      <c r="AA8" s="193">
        <f>AB7*Configurations!$E$48</f>
        <v>260.68</v>
      </c>
      <c r="AB8" s="193">
        <f>AB7+Z8-AA8</f>
        <v>2346.1200000000003</v>
      </c>
      <c r="AC8" s="194">
        <f>IF(S8-AA8-X8-U8&lt;0, 0,S8-AA8-X8-U8)</f>
        <v>0</v>
      </c>
      <c r="AD8" s="193">
        <f>AC8*Constants!$D$23</f>
        <v>0</v>
      </c>
      <c r="AE8" s="193">
        <f t="shared" si="2"/>
        <v>-374.78870070952621</v>
      </c>
      <c r="AF8" s="195">
        <f>AE8*(1+Constants!$D$20)^-H8</f>
        <v>-367.4399026563982</v>
      </c>
    </row>
    <row r="9" spans="2:35" x14ac:dyDescent="0.3">
      <c r="B9" s="178">
        <v>4</v>
      </c>
      <c r="C9" s="179">
        <f>Weather!I11*Configurations!$C$31*(1-Constants!$N$9)</f>
        <v>781.71657863357154</v>
      </c>
      <c r="D9" s="179">
        <f>Consumption!D12</f>
        <v>657.08666666666659</v>
      </c>
      <c r="E9" s="179">
        <f t="shared" si="0"/>
        <v>0</v>
      </c>
      <c r="F9" s="180">
        <f>IF(C9&gt;D9,C9-D9,0)</f>
        <v>124.62991196690496</v>
      </c>
      <c r="H9" s="178">
        <v>2</v>
      </c>
      <c r="I9" s="192">
        <f>I8*(1-Constants!$D$11)</f>
        <v>0.99002500000000004</v>
      </c>
      <c r="J9" s="179">
        <f t="shared" ref="J9:J12" si="3">$E$18*(2-I9)</f>
        <v>2510.4077018451021</v>
      </c>
      <c r="K9" s="179">
        <f t="shared" ref="K9:K12" si="4">$F$18*I9</f>
        <v>3208.1719443269963</v>
      </c>
      <c r="L9" s="193">
        <f>IF(J9*'Grid Power'!K19&lt;0,0,J9*'Grid Power'!K19)</f>
        <v>319.64649907501081</v>
      </c>
      <c r="M9" s="194">
        <f>IF($C$20=5,Configurations!$F$34,IF($C$20=15,Configurations!$F$35,0))</f>
        <v>1360.3531010425304</v>
      </c>
      <c r="N9" s="194">
        <f>N8*(1+Constants!$D$20)</f>
        <v>51</v>
      </c>
      <c r="O9" s="194">
        <v>0</v>
      </c>
      <c r="P9" s="194">
        <f>K9*'Grid Power'!L19</f>
        <v>330.50522241358078</v>
      </c>
      <c r="Q9" s="194"/>
      <c r="R9" s="193">
        <f>SUM(P9:Q9)-SUM(L9:O9)</f>
        <v>-1400.4943777039603</v>
      </c>
      <c r="S9" s="193">
        <f>R9+'Analysis (Nothing)'!D7</f>
        <v>-343.66256260373143</v>
      </c>
      <c r="T9" s="193">
        <v>0</v>
      </c>
      <c r="U9" s="193">
        <f>V8*Configurations!$C$48</f>
        <v>2611.4549999999999</v>
      </c>
      <c r="V9" s="193">
        <f t="shared" ref="V9:V12" si="5">V8+T9-U9</f>
        <v>6093.3950000000004</v>
      </c>
      <c r="W9" s="193">
        <v>0</v>
      </c>
      <c r="X9" s="193">
        <f>Y8*Configurations!$D$48</f>
        <v>159.20100000000002</v>
      </c>
      <c r="Y9" s="193">
        <f t="shared" ref="Y9:Y12" si="6">Y8+W9-X9</f>
        <v>1432.809</v>
      </c>
      <c r="Z9" s="194">
        <v>0</v>
      </c>
      <c r="AA9" s="193">
        <f>AB8*Configurations!$E$48</f>
        <v>469.2240000000001</v>
      </c>
      <c r="AB9" s="193">
        <f t="shared" ref="AB9:AB12" si="7">AB8+Z9-AA9</f>
        <v>1876.8960000000002</v>
      </c>
      <c r="AC9" s="194">
        <f t="shared" ref="AC9:AC12" si="8">IF(S9-AA9-X9-U9&lt;0, 0,S9-AA9-X9-U9)</f>
        <v>0</v>
      </c>
      <c r="AD9" s="193">
        <f>AC9*Constants!$D$23</f>
        <v>0</v>
      </c>
      <c r="AE9" s="193">
        <f t="shared" si="2"/>
        <v>-343.66256260373143</v>
      </c>
      <c r="AF9" s="195">
        <f>AE9*(1+Constants!$D$20)^-H9</f>
        <v>-330.31772645495141</v>
      </c>
    </row>
    <row r="10" spans="2:35" x14ac:dyDescent="0.3">
      <c r="B10" s="178">
        <v>5</v>
      </c>
      <c r="C10" s="179">
        <f>Weather!I12*Configurations!$C$31*(1-Constants!$N$9)</f>
        <v>1160.5108004810299</v>
      </c>
      <c r="D10" s="179">
        <f>Consumption!D13</f>
        <v>631.76990957157625</v>
      </c>
      <c r="E10" s="179">
        <f t="shared" si="0"/>
        <v>0</v>
      </c>
      <c r="F10" s="180">
        <f t="shared" ref="F10:F17" si="9">IF(C10&gt;D10,C10-D10,0)</f>
        <v>528.7408909094537</v>
      </c>
      <c r="H10" s="178">
        <v>3</v>
      </c>
      <c r="I10" s="192">
        <f>I9*(1-Constants!$D$11)</f>
        <v>0.98507487500000002</v>
      </c>
      <c r="J10" s="179">
        <f t="shared" si="3"/>
        <v>2522.7118003872406</v>
      </c>
      <c r="K10" s="179">
        <f t="shared" si="4"/>
        <v>3192.1310846053611</v>
      </c>
      <c r="L10" s="193">
        <f>IF(J10*'Grid Power'!K20&lt;0,0,J10*'Grid Power'!K20)</f>
        <v>335.83164946776094</v>
      </c>
      <c r="M10" s="194">
        <f>IF($C$20=5,Configurations!$F$34,IF($C$20=15,Configurations!$F$35,0))</f>
        <v>1360.3531010425304</v>
      </c>
      <c r="N10" s="194">
        <f>N9*(1+Constants!$D$20)</f>
        <v>52.02</v>
      </c>
      <c r="O10" s="194">
        <v>0</v>
      </c>
      <c r="P10" s="194">
        <f>K10*'Grid Power'!L20</f>
        <v>332.14122326452798</v>
      </c>
      <c r="Q10" s="194"/>
      <c r="R10" s="193">
        <f>SUM(P10:Q10)-SUM(L10:O10)</f>
        <v>-1416.0635272457635</v>
      </c>
      <c r="S10" s="193">
        <f>R10+'Analysis (Nothing)'!D8</f>
        <v>-311.13504376995729</v>
      </c>
      <c r="T10" s="193">
        <v>0</v>
      </c>
      <c r="U10" s="193">
        <f>V9*Configurations!$C$48</f>
        <v>1828.0185000000001</v>
      </c>
      <c r="V10" s="193">
        <f t="shared" si="5"/>
        <v>4265.3765000000003</v>
      </c>
      <c r="W10" s="193">
        <v>0</v>
      </c>
      <c r="X10" s="193">
        <f>Y9*Configurations!$D$48</f>
        <v>143.2809</v>
      </c>
      <c r="Y10" s="193">
        <f t="shared" si="6"/>
        <v>1289.5281</v>
      </c>
      <c r="Z10" s="194">
        <v>0</v>
      </c>
      <c r="AA10" s="193">
        <f>AB9*Configurations!$E$48</f>
        <v>375.37920000000008</v>
      </c>
      <c r="AB10" s="193">
        <f t="shared" si="7"/>
        <v>1501.5168000000001</v>
      </c>
      <c r="AC10" s="194">
        <f t="shared" si="8"/>
        <v>0</v>
      </c>
      <c r="AD10" s="193">
        <f>AC10*Constants!$D$23</f>
        <v>0</v>
      </c>
      <c r="AE10" s="193">
        <f t="shared" si="2"/>
        <v>-311.13504376995729</v>
      </c>
      <c r="AF10" s="195">
        <f>AE10*(1+Constants!$D$20)^-H10</f>
        <v>-293.18950080470307</v>
      </c>
    </row>
    <row r="11" spans="2:35" x14ac:dyDescent="0.3">
      <c r="B11" s="178">
        <v>6</v>
      </c>
      <c r="C11" s="179">
        <f>Weather!I13*Configurations!$C$31*(1-Constants!$N$9)</f>
        <v>1446.2156854701</v>
      </c>
      <c r="D11" s="179">
        <f>Consumption!D14</f>
        <v>622.50333333333333</v>
      </c>
      <c r="E11" s="179">
        <f t="shared" si="0"/>
        <v>0</v>
      </c>
      <c r="F11" s="180">
        <f t="shared" si="9"/>
        <v>823.71235213676664</v>
      </c>
      <c r="H11" s="178">
        <v>4</v>
      </c>
      <c r="I11" s="192">
        <f>I10*(1-Constants!$D$11)</f>
        <v>0.98014950062500006</v>
      </c>
      <c r="J11" s="179">
        <f t="shared" si="3"/>
        <v>2534.9543784366679</v>
      </c>
      <c r="K11" s="179">
        <f t="shared" si="4"/>
        <v>3176.1704291823348</v>
      </c>
      <c r="L11" s="193">
        <f>IF(J11*'Grid Power'!K21&lt;0,0,J11*'Grid Power'!K21)</f>
        <v>352.86103018652238</v>
      </c>
      <c r="M11" s="194">
        <f>IF($C$20=5,Configurations!$F$34,IF($C$20=15,Configurations!$F$35,0))</f>
        <v>1360.3531010425304</v>
      </c>
      <c r="N11" s="194">
        <f>N10*(1+Constants!$D$20)</f>
        <v>53.060400000000001</v>
      </c>
      <c r="O11" s="194">
        <v>0</v>
      </c>
      <c r="P11" s="194">
        <f>K11*'Grid Power'!L21</f>
        <v>333.78532231968745</v>
      </c>
      <c r="Q11" s="194"/>
      <c r="R11" s="193">
        <f>SUM(P11:Q11)-SUM(L11:O11)</f>
        <v>-1432.4892089093655</v>
      </c>
      <c r="S11" s="193">
        <f>R11+'Analysis (Nothing)'!D9</f>
        <v>-277.13876556310697</v>
      </c>
      <c r="T11" s="193">
        <v>0</v>
      </c>
      <c r="U11" s="193">
        <f>V10*Configurations!$C$48</f>
        <v>1279.61295</v>
      </c>
      <c r="V11" s="193">
        <f t="shared" si="5"/>
        <v>2985.7635500000006</v>
      </c>
      <c r="W11" s="193">
        <v>0</v>
      </c>
      <c r="X11" s="193">
        <f>Y10*Configurations!$D$48</f>
        <v>128.95281</v>
      </c>
      <c r="Y11" s="193">
        <f t="shared" si="6"/>
        <v>1160.57529</v>
      </c>
      <c r="Z11" s="194">
        <v>0</v>
      </c>
      <c r="AA11" s="193">
        <f>AB10*Configurations!$E$48</f>
        <v>300.30336000000005</v>
      </c>
      <c r="AB11" s="193">
        <f t="shared" si="7"/>
        <v>1201.21344</v>
      </c>
      <c r="AC11" s="194">
        <f t="shared" si="8"/>
        <v>0</v>
      </c>
      <c r="AD11" s="193">
        <f>AC11*Constants!$D$23</f>
        <v>0</v>
      </c>
      <c r="AE11" s="193">
        <f t="shared" si="2"/>
        <v>-277.13876556310697</v>
      </c>
      <c r="AF11" s="195">
        <f>AE11*(1+Constants!$D$20)^-H11</f>
        <v>-256.03338094011082</v>
      </c>
    </row>
    <row r="12" spans="2:35" x14ac:dyDescent="0.3">
      <c r="B12" s="178">
        <v>7</v>
      </c>
      <c r="C12" s="179">
        <f>Weather!I14*Configurations!$C$31*(1-Constants!$N$9)</f>
        <v>1503.76670617987</v>
      </c>
      <c r="D12" s="179">
        <f>Consumption!D15</f>
        <v>631.76990957157625</v>
      </c>
      <c r="E12" s="179">
        <f t="shared" si="0"/>
        <v>0</v>
      </c>
      <c r="F12" s="180">
        <f t="shared" si="9"/>
        <v>871.99679660829372</v>
      </c>
      <c r="H12" s="196">
        <v>5</v>
      </c>
      <c r="I12" s="197">
        <f>I11*(1-Constants!$D$11)</f>
        <v>0.97524875312187509</v>
      </c>
      <c r="J12" s="198">
        <f t="shared" si="3"/>
        <v>2547.135743595848</v>
      </c>
      <c r="K12" s="198">
        <f t="shared" si="4"/>
        <v>3160.289577036423</v>
      </c>
      <c r="L12" s="199">
        <f>IF(J12*'Grid Power'!K22&lt;0,0,J12*'Grid Power'!K22)</f>
        <v>370.77938563677935</v>
      </c>
      <c r="M12" s="200">
        <f>IF($C$20=5,Configurations!$F$34,IF($C$20=15,Configurations!$F$35,0))</f>
        <v>1360.3531010425304</v>
      </c>
      <c r="N12" s="200">
        <f>N11*(1+Constants!$D$20)</f>
        <v>54.121608000000002</v>
      </c>
      <c r="O12" s="200">
        <v>0</v>
      </c>
      <c r="P12" s="200">
        <f>K12*'Grid Power'!L22</f>
        <v>335.43755966516989</v>
      </c>
      <c r="Q12" s="200">
        <f>V12+Y12+AB12</f>
        <v>4095.5229980000004</v>
      </c>
      <c r="R12" s="199">
        <f>SUM(P12:Q12)-SUM(L12:O12)</f>
        <v>2645.7064629858605</v>
      </c>
      <c r="S12" s="199">
        <f>R12+'Analysis (Nothing)'!D10</f>
        <v>3853.9199395146543</v>
      </c>
      <c r="T12" s="199">
        <v>0</v>
      </c>
      <c r="U12" s="199">
        <f>V11*Configurations!$C$48</f>
        <v>895.72906500000011</v>
      </c>
      <c r="V12" s="199">
        <f t="shared" si="5"/>
        <v>2090.0344850000006</v>
      </c>
      <c r="W12" s="199">
        <v>0</v>
      </c>
      <c r="X12" s="199">
        <f>Y11*Configurations!$D$48</f>
        <v>116.057529</v>
      </c>
      <c r="Y12" s="199">
        <f t="shared" si="6"/>
        <v>1044.5177610000001</v>
      </c>
      <c r="Z12" s="200">
        <v>0</v>
      </c>
      <c r="AA12" s="199">
        <f>AB11*Configurations!$E$48</f>
        <v>240.24268800000002</v>
      </c>
      <c r="AB12" s="199">
        <f t="shared" si="7"/>
        <v>960.97075199999995</v>
      </c>
      <c r="AC12" s="200">
        <f t="shared" si="8"/>
        <v>2601.8906575146543</v>
      </c>
      <c r="AD12" s="199">
        <f>AC12*Constants!$D$23</f>
        <v>260.18906575146542</v>
      </c>
      <c r="AE12" s="199">
        <f t="shared" si="2"/>
        <v>3593.7308737631888</v>
      </c>
      <c r="AF12" s="201">
        <f>AE12*(1+Constants!$D$20)^-H12</f>
        <v>3254.9527746043045</v>
      </c>
    </row>
    <row r="13" spans="2:35" x14ac:dyDescent="0.3">
      <c r="B13" s="178">
        <v>8</v>
      </c>
      <c r="C13" s="179">
        <f>Weather!I15*Configurations!$C$31*(1-Constants!$N$9)</f>
        <v>1302.1127115230684</v>
      </c>
      <c r="D13" s="179">
        <f>Consumption!D16</f>
        <v>657.08666666666659</v>
      </c>
      <c r="E13" s="179">
        <f t="shared" si="0"/>
        <v>0</v>
      </c>
      <c r="F13" s="180">
        <f t="shared" si="9"/>
        <v>645.02604485640177</v>
      </c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</row>
    <row r="14" spans="2:35" x14ac:dyDescent="0.3">
      <c r="B14" s="178">
        <v>9</v>
      </c>
      <c r="C14" s="179">
        <f>Weather!I16*Configurations!$C$31*(1-Constants!$N$9)</f>
        <v>938.05989436028585</v>
      </c>
      <c r="D14" s="179">
        <f>Consumption!D17</f>
        <v>691.67</v>
      </c>
      <c r="E14" s="179">
        <f t="shared" si="0"/>
        <v>0</v>
      </c>
      <c r="F14" s="180">
        <f t="shared" si="9"/>
        <v>246.38989436028589</v>
      </c>
      <c r="H14" s="260" t="s">
        <v>202</v>
      </c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</row>
    <row r="15" spans="2:35" x14ac:dyDescent="0.3">
      <c r="B15" s="178">
        <v>10</v>
      </c>
      <c r="C15" s="179">
        <f>Weather!I17*Configurations!$C$31*(1-Constants!$N$9)</f>
        <v>567.66309441642727</v>
      </c>
      <c r="D15" s="179">
        <f>Consumption!D18</f>
        <v>726.25333333333333</v>
      </c>
      <c r="E15" s="179">
        <f t="shared" si="0"/>
        <v>158.59023891690606</v>
      </c>
      <c r="F15" s="180">
        <f t="shared" si="9"/>
        <v>0</v>
      </c>
      <c r="H15" s="260" t="s">
        <v>56</v>
      </c>
      <c r="I15" s="261" t="s">
        <v>116</v>
      </c>
      <c r="J15" s="262"/>
      <c r="K15" s="263"/>
      <c r="L15" s="261" t="s">
        <v>6</v>
      </c>
      <c r="M15" s="262"/>
      <c r="N15" s="262"/>
      <c r="O15" s="263"/>
      <c r="P15" s="262"/>
      <c r="Q15" s="263"/>
      <c r="R15" s="261" t="s">
        <v>174</v>
      </c>
      <c r="S15" s="263"/>
      <c r="T15" s="261" t="s">
        <v>229</v>
      </c>
      <c r="U15" s="262"/>
      <c r="V15" s="263"/>
      <c r="W15" s="261" t="s">
        <v>230</v>
      </c>
      <c r="X15" s="262"/>
      <c r="Y15" s="263"/>
      <c r="Z15" s="261" t="s">
        <v>247</v>
      </c>
      <c r="AA15" s="262"/>
      <c r="AB15" s="263"/>
      <c r="AC15" s="170"/>
      <c r="AD15" s="170"/>
      <c r="AE15" s="260" t="s">
        <v>197</v>
      </c>
      <c r="AF15" s="260"/>
      <c r="AH15" s="172" t="s">
        <v>194</v>
      </c>
      <c r="AI15" s="173">
        <f>IRR(AE18:AE38)</f>
        <v>9.2548484615957438E-3</v>
      </c>
    </row>
    <row r="16" spans="2:35" x14ac:dyDescent="0.3">
      <c r="B16" s="178">
        <v>11</v>
      </c>
      <c r="C16" s="179">
        <f>Weather!I18*Configurations!$C$31*(1-Constants!$N$9)</f>
        <v>305.82987145264582</v>
      </c>
      <c r="D16" s="179">
        <f>Consumption!D19</f>
        <v>751.57009042842367</v>
      </c>
      <c r="E16" s="179">
        <f t="shared" si="0"/>
        <v>445.74021897577785</v>
      </c>
      <c r="F16" s="180">
        <f t="shared" si="9"/>
        <v>0</v>
      </c>
      <c r="H16" s="260"/>
      <c r="I16" s="258" t="s">
        <v>153</v>
      </c>
      <c r="J16" s="176" t="s">
        <v>170</v>
      </c>
      <c r="K16" s="176" t="s">
        <v>243</v>
      </c>
      <c r="L16" s="176" t="s">
        <v>162</v>
      </c>
      <c r="M16" s="176" t="s">
        <v>139</v>
      </c>
      <c r="N16" s="176" t="s">
        <v>164</v>
      </c>
      <c r="O16" s="176" t="s">
        <v>226</v>
      </c>
      <c r="P16" s="176" t="s">
        <v>165</v>
      </c>
      <c r="Q16" s="176" t="s">
        <v>146</v>
      </c>
      <c r="R16" s="176" t="s">
        <v>174</v>
      </c>
      <c r="S16" s="176" t="s">
        <v>177</v>
      </c>
      <c r="T16" s="176" t="str">
        <f>"+CCA"</f>
        <v>+CCA</v>
      </c>
      <c r="U16" s="176" t="s">
        <v>8</v>
      </c>
      <c r="V16" s="176" t="s">
        <v>231</v>
      </c>
      <c r="W16" s="176" t="str">
        <f>"+CCA"</f>
        <v>+CCA</v>
      </c>
      <c r="X16" s="176" t="s">
        <v>8</v>
      </c>
      <c r="Y16" s="176" t="s">
        <v>231</v>
      </c>
      <c r="Z16" s="176" t="str">
        <f>"+CCA"</f>
        <v>+CCA</v>
      </c>
      <c r="AA16" s="176" t="s">
        <v>8</v>
      </c>
      <c r="AB16" s="176" t="s">
        <v>231</v>
      </c>
      <c r="AC16" s="176" t="s">
        <v>172</v>
      </c>
      <c r="AD16" s="176" t="s">
        <v>175</v>
      </c>
      <c r="AE16" s="176" t="s">
        <v>196</v>
      </c>
      <c r="AF16" s="176" t="s">
        <v>196</v>
      </c>
      <c r="AH16" s="172" t="s">
        <v>195</v>
      </c>
      <c r="AI16" s="177">
        <f>IRR(AF18:AF38)</f>
        <v>-1.0534462293566693E-2</v>
      </c>
    </row>
    <row r="17" spans="2:35" x14ac:dyDescent="0.3">
      <c r="B17" s="178">
        <v>12</v>
      </c>
      <c r="C17" s="179">
        <f>Weather!I19*Configurations!$C$31*(1-Constants!$N$9)</f>
        <v>179.90474952857298</v>
      </c>
      <c r="D17" s="179">
        <f>Consumption!D20</f>
        <v>760.83666666666659</v>
      </c>
      <c r="E17" s="179">
        <f t="shared" si="0"/>
        <v>580.93191713809358</v>
      </c>
      <c r="F17" s="180">
        <f t="shared" si="9"/>
        <v>0</v>
      </c>
      <c r="H17" s="264"/>
      <c r="I17" s="259"/>
      <c r="J17" s="181" t="s">
        <v>62</v>
      </c>
      <c r="K17" s="181" t="s">
        <v>62</v>
      </c>
      <c r="L17" s="181" t="s">
        <v>59</v>
      </c>
      <c r="M17" s="181" t="s">
        <v>59</v>
      </c>
      <c r="N17" s="181" t="s">
        <v>59</v>
      </c>
      <c r="O17" s="181" t="s">
        <v>59</v>
      </c>
      <c r="P17" s="181" t="s">
        <v>59</v>
      </c>
      <c r="Q17" s="181" t="s">
        <v>59</v>
      </c>
      <c r="R17" s="181" t="s">
        <v>59</v>
      </c>
      <c r="S17" s="181" t="s">
        <v>59</v>
      </c>
      <c r="T17" s="181" t="s">
        <v>59</v>
      </c>
      <c r="U17" s="181" t="s">
        <v>59</v>
      </c>
      <c r="V17" s="181" t="s">
        <v>59</v>
      </c>
      <c r="W17" s="181" t="s">
        <v>59</v>
      </c>
      <c r="X17" s="181" t="s">
        <v>59</v>
      </c>
      <c r="Y17" s="181" t="s">
        <v>59</v>
      </c>
      <c r="Z17" s="181" t="s">
        <v>59</v>
      </c>
      <c r="AA17" s="181" t="s">
        <v>59</v>
      </c>
      <c r="AB17" s="181" t="s">
        <v>59</v>
      </c>
      <c r="AC17" s="181" t="s">
        <v>59</v>
      </c>
      <c r="AD17" s="181" t="s">
        <v>59</v>
      </c>
      <c r="AE17" s="181" t="s">
        <v>59</v>
      </c>
      <c r="AF17" s="182" t="s">
        <v>178</v>
      </c>
      <c r="AH17" s="183" t="s">
        <v>198</v>
      </c>
      <c r="AI17" s="184">
        <f>NPV(Constants!$D$21,'Analysis (B)'!AF19:AF38)+'Analysis (B)'!AF18</f>
        <v>-1810.1607567702329</v>
      </c>
    </row>
    <row r="18" spans="2:35" x14ac:dyDescent="0.3">
      <c r="B18" s="203" t="s">
        <v>87</v>
      </c>
      <c r="C18" s="204">
        <f>SUM(C6:C17)</f>
        <v>9054.9221857017401</v>
      </c>
      <c r="D18" s="204">
        <f>SUM(D6:D17)</f>
        <v>8300.0400000000009</v>
      </c>
      <c r="E18" s="204">
        <f>SUM(E6:E17)</f>
        <v>2485.6137051363671</v>
      </c>
      <c r="F18" s="205">
        <f>SUM(F6:F17)</f>
        <v>3240.4958908381063</v>
      </c>
      <c r="G18" s="202"/>
      <c r="H18" s="185">
        <v>0</v>
      </c>
      <c r="I18" s="186">
        <v>1</v>
      </c>
      <c r="J18" s="187">
        <v>0</v>
      </c>
      <c r="K18" s="187">
        <v>0</v>
      </c>
      <c r="L18" s="188">
        <v>0</v>
      </c>
      <c r="M18" s="189">
        <f>IF($C$20=0,Configurations!$C$34-Configurations!$C$35,0)</f>
        <v>0</v>
      </c>
      <c r="N18" s="189">
        <v>0</v>
      </c>
      <c r="O18" s="189">
        <v>0</v>
      </c>
      <c r="P18" s="189">
        <f>K18*'Grid Power'!$L$18</f>
        <v>0</v>
      </c>
      <c r="Q18" s="189">
        <v>0</v>
      </c>
      <c r="R18" s="188">
        <f>SUM(P18:Q18)-SUM(L18:O18)</f>
        <v>0</v>
      </c>
      <c r="S18" s="188">
        <f>R18+'Analysis (Nothing)'!D5</f>
        <v>0</v>
      </c>
      <c r="T18" s="188">
        <f>Configurations!$C$47/2</f>
        <v>5120.5</v>
      </c>
      <c r="U18" s="188">
        <f>0</f>
        <v>0</v>
      </c>
      <c r="V18" s="188">
        <f>U18+T18</f>
        <v>5120.5</v>
      </c>
      <c r="W18" s="188">
        <f>Configurations!$D$47/2</f>
        <v>837.9</v>
      </c>
      <c r="X18" s="188">
        <f>0</f>
        <v>0</v>
      </c>
      <c r="Y18" s="188">
        <f>X18+W18</f>
        <v>837.9</v>
      </c>
      <c r="Z18" s="188">
        <f>Configurations!$E$47/2</f>
        <v>1303.4000000000001</v>
      </c>
      <c r="AA18" s="189">
        <v>0</v>
      </c>
      <c r="AB18" s="188">
        <f>Z18-AA18</f>
        <v>1303.4000000000001</v>
      </c>
      <c r="AC18" s="189">
        <f>IF(S18&lt;0, 0,S18-AA18-X18-U18)</f>
        <v>0</v>
      </c>
      <c r="AD18" s="188">
        <f>AC18*Constants!$D$23</f>
        <v>0</v>
      </c>
      <c r="AE18" s="188">
        <f t="shared" ref="AE18:AE23" si="10">S18-AD18</f>
        <v>0</v>
      </c>
      <c r="AF18" s="190">
        <f>AE18*(1+Constants!$D$20)^-H18</f>
        <v>0</v>
      </c>
      <c r="AH18" s="172" t="s">
        <v>199</v>
      </c>
      <c r="AI18" s="191">
        <f>PMT(Constants!$D$21,5,-'Analysis (B)'!AI17)</f>
        <v>-395.25687621070654</v>
      </c>
    </row>
    <row r="19" spans="2:35" x14ac:dyDescent="0.3">
      <c r="D19" s="206"/>
      <c r="G19" s="207"/>
      <c r="H19" s="178">
        <v>1</v>
      </c>
      <c r="I19" s="192">
        <f>I18*(1-Constants!$D$11)</f>
        <v>0.995</v>
      </c>
      <c r="J19" s="179">
        <f>$E$18*(2-I19)</f>
        <v>2498.0417736620489</v>
      </c>
      <c r="K19" s="179">
        <f>$F$18*I19</f>
        <v>3224.293411383916</v>
      </c>
      <c r="L19" s="193">
        <f>IF(J19*'Grid Power'!K18&lt;0,0,J19*'Grid Power'!K18)</f>
        <v>304.2630967709398</v>
      </c>
      <c r="M19" s="194">
        <f>IF($C$20=5,Configurations!$F$34,IF($C$20=15,Configurations!$F$35,0))</f>
        <v>1360.3531010425304</v>
      </c>
      <c r="N19" s="194">
        <v>50</v>
      </c>
      <c r="O19" s="194">
        <v>0</v>
      </c>
      <c r="P19" s="194">
        <f>K19*'Grid Power'!L18</f>
        <v>328.87727987818374</v>
      </c>
      <c r="Q19" s="194">
        <v>0</v>
      </c>
      <c r="R19" s="193">
        <f>SUM(P19:Q19)-SUM(L19:O19)</f>
        <v>-1385.7389179352863</v>
      </c>
      <c r="S19" s="193">
        <f>R19+'Analysis (Nothing)'!D6</f>
        <v>-374.78870070952621</v>
      </c>
      <c r="T19" s="193">
        <f>Configurations!$C$47/2</f>
        <v>5120.5</v>
      </c>
      <c r="U19" s="193">
        <f>V18*Configurations!$C$48</f>
        <v>1536.1499999999999</v>
      </c>
      <c r="V19" s="193">
        <f>V18+T19-U19</f>
        <v>8704.85</v>
      </c>
      <c r="W19" s="193">
        <f>Configurations!$D$47/2</f>
        <v>837.9</v>
      </c>
      <c r="X19" s="193">
        <f>Y18*Configurations!$D$48</f>
        <v>83.79</v>
      </c>
      <c r="Y19" s="193">
        <f>Y18+W19-X19</f>
        <v>1592.01</v>
      </c>
      <c r="Z19" s="193">
        <f>Configurations!$E$47/2</f>
        <v>1303.4000000000001</v>
      </c>
      <c r="AA19" s="193">
        <f>AB18*Configurations!$E$48</f>
        <v>260.68</v>
      </c>
      <c r="AB19" s="193">
        <f>AB18+Z19-AA19</f>
        <v>2346.1200000000003</v>
      </c>
      <c r="AC19" s="194">
        <f>IF(S19-AA19-X19-U19&lt;0, 0,S19-AA19-X19-U19)</f>
        <v>0</v>
      </c>
      <c r="AD19" s="193">
        <f>AC19*Constants!$D$23</f>
        <v>0</v>
      </c>
      <c r="AE19" s="193">
        <f t="shared" si="10"/>
        <v>-374.78870070952621</v>
      </c>
      <c r="AF19" s="195">
        <f>AE19*(1+Constants!$D$20)^-H19</f>
        <v>-367.4399026563982</v>
      </c>
    </row>
    <row r="20" spans="2:35" x14ac:dyDescent="0.3">
      <c r="B20" s="268" t="s">
        <v>256</v>
      </c>
      <c r="C20" s="168">
        <v>15</v>
      </c>
      <c r="H20" s="178">
        <v>2</v>
      </c>
      <c r="I20" s="192">
        <f>I19*(1-Constants!$D$11)</f>
        <v>0.99002500000000004</v>
      </c>
      <c r="J20" s="179">
        <f t="shared" ref="J20:J38" si="11">$E$18*(2-I20)</f>
        <v>2510.4077018451021</v>
      </c>
      <c r="K20" s="179">
        <f t="shared" ref="K20:K23" si="12">$F$18*I20</f>
        <v>3208.1719443269963</v>
      </c>
      <c r="L20" s="193">
        <f>IF(J20*'Grid Power'!K19&lt;0,0,J20*'Grid Power'!K19)</f>
        <v>319.64649907501081</v>
      </c>
      <c r="M20" s="194">
        <f>IF($C$20=5,Configurations!$F$34,IF($C$20=15,Configurations!$F$35,0))</f>
        <v>1360.3531010425304</v>
      </c>
      <c r="N20" s="194">
        <f>N19*(1+Constants!$D$20)</f>
        <v>51</v>
      </c>
      <c r="O20" s="194">
        <v>0</v>
      </c>
      <c r="P20" s="194">
        <f>K20*'Grid Power'!L19</f>
        <v>330.50522241358078</v>
      </c>
      <c r="Q20" s="194">
        <v>0</v>
      </c>
      <c r="R20" s="193">
        <f>SUM(P20:Q20)-SUM(L20:O20)</f>
        <v>-1400.4943777039603</v>
      </c>
      <c r="S20" s="193">
        <f>R20+'Analysis (Nothing)'!D7</f>
        <v>-343.66256260373143</v>
      </c>
      <c r="T20" s="193">
        <v>0</v>
      </c>
      <c r="U20" s="193">
        <f>V19*Configurations!$C$48</f>
        <v>2611.4549999999999</v>
      </c>
      <c r="V20" s="193">
        <f t="shared" ref="V20:V23" si="13">V19+T20-U20</f>
        <v>6093.3950000000004</v>
      </c>
      <c r="W20" s="193">
        <v>0</v>
      </c>
      <c r="X20" s="193">
        <f>Y19*Configurations!$D$48</f>
        <v>159.20100000000002</v>
      </c>
      <c r="Y20" s="193">
        <f t="shared" ref="Y20:Y23" si="14">Y19+W20-X20</f>
        <v>1432.809</v>
      </c>
      <c r="Z20" s="194">
        <v>0</v>
      </c>
      <c r="AA20" s="193">
        <f>AB19*Configurations!$E$48</f>
        <v>469.2240000000001</v>
      </c>
      <c r="AB20" s="193">
        <f t="shared" ref="AB20:AB23" si="15">AB19+Z20-AA20</f>
        <v>1876.8960000000002</v>
      </c>
      <c r="AC20" s="194">
        <f t="shared" ref="AC20:AC23" si="16">IF(S20-AA20-X20-U20&lt;0, 0,S20-AA20-X20-U20)</f>
        <v>0</v>
      </c>
      <c r="AD20" s="193">
        <f>AC20*Constants!$D$23</f>
        <v>0</v>
      </c>
      <c r="AE20" s="193">
        <f t="shared" si="10"/>
        <v>-343.66256260373143</v>
      </c>
      <c r="AF20" s="195">
        <f>AE20*(1+Constants!$D$20)^-H20</f>
        <v>-330.31772645495141</v>
      </c>
    </row>
    <row r="21" spans="2:35" x14ac:dyDescent="0.3">
      <c r="B21" s="268"/>
      <c r="C21" s="168" t="s">
        <v>257</v>
      </c>
      <c r="D21" s="206" t="s">
        <v>258</v>
      </c>
      <c r="H21" s="178">
        <v>3</v>
      </c>
      <c r="I21" s="192">
        <f>I20*(1-Constants!$D$11)</f>
        <v>0.98507487500000002</v>
      </c>
      <c r="J21" s="179">
        <f t="shared" si="11"/>
        <v>2522.7118003872406</v>
      </c>
      <c r="K21" s="179">
        <f t="shared" si="12"/>
        <v>3192.1310846053611</v>
      </c>
      <c r="L21" s="193">
        <f>IF(J21*'Grid Power'!K20&lt;0,0,J21*'Grid Power'!K20)</f>
        <v>335.83164946776094</v>
      </c>
      <c r="M21" s="194">
        <f>IF($C$20=5,Configurations!$F$34,IF($C$20=15,Configurations!$F$35,0))</f>
        <v>1360.3531010425304</v>
      </c>
      <c r="N21" s="194">
        <f>N20*(1+Constants!$D$20)</f>
        <v>52.02</v>
      </c>
      <c r="O21" s="194">
        <v>0</v>
      </c>
      <c r="P21" s="194">
        <f>K21*'Grid Power'!L20</f>
        <v>332.14122326452798</v>
      </c>
      <c r="Q21" s="194">
        <v>0</v>
      </c>
      <c r="R21" s="193">
        <f>SUM(P21:Q21)-SUM(L21:O21)</f>
        <v>-1416.0635272457635</v>
      </c>
      <c r="S21" s="193">
        <f>R21+'Analysis (Nothing)'!D8</f>
        <v>-311.13504376995729</v>
      </c>
      <c r="T21" s="193">
        <v>0</v>
      </c>
      <c r="U21" s="193">
        <f>V20*Configurations!$C$48</f>
        <v>1828.0185000000001</v>
      </c>
      <c r="V21" s="193">
        <f t="shared" si="13"/>
        <v>4265.3765000000003</v>
      </c>
      <c r="W21" s="193">
        <v>0</v>
      </c>
      <c r="X21" s="193">
        <f>Y20*Configurations!$D$48</f>
        <v>143.2809</v>
      </c>
      <c r="Y21" s="193">
        <f t="shared" si="14"/>
        <v>1289.5281</v>
      </c>
      <c r="Z21" s="194">
        <v>0</v>
      </c>
      <c r="AA21" s="193">
        <f>AB20*Configurations!$E$48</f>
        <v>375.37920000000008</v>
      </c>
      <c r="AB21" s="193">
        <f t="shared" si="15"/>
        <v>1501.5168000000001</v>
      </c>
      <c r="AC21" s="194">
        <f t="shared" si="16"/>
        <v>0</v>
      </c>
      <c r="AD21" s="193">
        <f>AC21*Constants!$D$23</f>
        <v>0</v>
      </c>
      <c r="AE21" s="193">
        <f t="shared" si="10"/>
        <v>-311.13504376995729</v>
      </c>
      <c r="AF21" s="195">
        <f>AE21*(1+Constants!$D$20)^-H21</f>
        <v>-293.18950080470307</v>
      </c>
    </row>
    <row r="22" spans="2:35" x14ac:dyDescent="0.3">
      <c r="B22" s="268"/>
      <c r="C22" s="168" t="s">
        <v>259</v>
      </c>
      <c r="D22" s="168" t="s">
        <v>261</v>
      </c>
      <c r="H22" s="178">
        <v>4</v>
      </c>
      <c r="I22" s="192">
        <f>I21*(1-Constants!$D$11)</f>
        <v>0.98014950062500006</v>
      </c>
      <c r="J22" s="179">
        <f t="shared" si="11"/>
        <v>2534.9543784366679</v>
      </c>
      <c r="K22" s="179">
        <f t="shared" si="12"/>
        <v>3176.1704291823348</v>
      </c>
      <c r="L22" s="193">
        <f>IF(J22*'Grid Power'!K21&lt;0,0,J22*'Grid Power'!K21)</f>
        <v>352.86103018652238</v>
      </c>
      <c r="M22" s="194">
        <f>IF($C$20=5,Configurations!$F$34,IF($C$20=15,Configurations!$F$35,0))</f>
        <v>1360.3531010425304</v>
      </c>
      <c r="N22" s="194">
        <f>N21*(1+Constants!$D$20)</f>
        <v>53.060400000000001</v>
      </c>
      <c r="O22" s="194">
        <v>0</v>
      </c>
      <c r="P22" s="194">
        <f>K22*'Grid Power'!L21</f>
        <v>333.78532231968745</v>
      </c>
      <c r="Q22" s="194">
        <v>0</v>
      </c>
      <c r="R22" s="193">
        <f>SUM(P22:Q22)-SUM(L22:O22)</f>
        <v>-1432.4892089093655</v>
      </c>
      <c r="S22" s="193">
        <f>R22+'Analysis (Nothing)'!D9</f>
        <v>-277.13876556310697</v>
      </c>
      <c r="T22" s="193">
        <v>0</v>
      </c>
      <c r="U22" s="193">
        <f>V21*Configurations!$C$48</f>
        <v>1279.61295</v>
      </c>
      <c r="V22" s="193">
        <f t="shared" si="13"/>
        <v>2985.7635500000006</v>
      </c>
      <c r="W22" s="193">
        <v>0</v>
      </c>
      <c r="X22" s="193">
        <f>Y21*Configurations!$D$48</f>
        <v>128.95281</v>
      </c>
      <c r="Y22" s="193">
        <f t="shared" si="14"/>
        <v>1160.57529</v>
      </c>
      <c r="Z22" s="194">
        <v>0</v>
      </c>
      <c r="AA22" s="193">
        <f>AB21*Configurations!$E$48</f>
        <v>300.30336000000005</v>
      </c>
      <c r="AB22" s="193">
        <f t="shared" si="15"/>
        <v>1201.21344</v>
      </c>
      <c r="AC22" s="194">
        <f t="shared" si="16"/>
        <v>0</v>
      </c>
      <c r="AD22" s="193">
        <f>AC22*Constants!$D$23</f>
        <v>0</v>
      </c>
      <c r="AE22" s="193">
        <f t="shared" si="10"/>
        <v>-277.13876556310697</v>
      </c>
      <c r="AF22" s="195">
        <f>AE22*(1+Constants!$D$20)^-H22</f>
        <v>-256.03338094011082</v>
      </c>
    </row>
    <row r="23" spans="2:35" x14ac:dyDescent="0.3">
      <c r="B23" s="268"/>
      <c r="C23" s="168" t="s">
        <v>260</v>
      </c>
      <c r="D23" s="168" t="s">
        <v>262</v>
      </c>
      <c r="H23" s="178">
        <v>5</v>
      </c>
      <c r="I23" s="192">
        <f>I22*(1-Constants!$D$11)</f>
        <v>0.97524875312187509</v>
      </c>
      <c r="J23" s="179">
        <f t="shared" si="11"/>
        <v>2547.135743595848</v>
      </c>
      <c r="K23" s="179">
        <f t="shared" si="12"/>
        <v>3160.289577036423</v>
      </c>
      <c r="L23" s="193">
        <f>IF(J23*'Grid Power'!K22&lt;0,0,J23*'Grid Power'!K22)</f>
        <v>370.77938563677935</v>
      </c>
      <c r="M23" s="194">
        <f>IF($C$20=5,Configurations!$F$34,IF($C$20=15,Configurations!$F$35,0))</f>
        <v>1360.3531010425304</v>
      </c>
      <c r="N23" s="194">
        <f>N22*(1+Constants!$D$20)</f>
        <v>54.121608000000002</v>
      </c>
      <c r="O23" s="194">
        <v>0</v>
      </c>
      <c r="P23" s="194">
        <f>K23*'Grid Power'!L22</f>
        <v>335.43755966516989</v>
      </c>
      <c r="Q23" s="194">
        <v>0</v>
      </c>
      <c r="R23" s="193">
        <f>SUM(P23:Q23)-SUM(L23:O23)</f>
        <v>-1449.8165350141398</v>
      </c>
      <c r="S23" s="193">
        <f>R23+'Analysis (Nothing)'!D10</f>
        <v>-241.60305848534585</v>
      </c>
      <c r="T23" s="193">
        <v>0</v>
      </c>
      <c r="U23" s="193">
        <f>V22*Configurations!$C$48</f>
        <v>895.72906500000011</v>
      </c>
      <c r="V23" s="193">
        <f t="shared" si="13"/>
        <v>2090.0344850000006</v>
      </c>
      <c r="W23" s="193">
        <v>0</v>
      </c>
      <c r="X23" s="193">
        <f>Y22*Configurations!$D$48</f>
        <v>116.057529</v>
      </c>
      <c r="Y23" s="193">
        <f t="shared" si="14"/>
        <v>1044.5177610000001</v>
      </c>
      <c r="Z23" s="194">
        <v>0</v>
      </c>
      <c r="AA23" s="193">
        <f>AB22*Configurations!$E$48</f>
        <v>240.24268800000002</v>
      </c>
      <c r="AB23" s="193">
        <f t="shared" si="15"/>
        <v>960.97075199999995</v>
      </c>
      <c r="AC23" s="194">
        <f t="shared" si="16"/>
        <v>0</v>
      </c>
      <c r="AD23" s="193">
        <f>AC23*Constants!$D$23</f>
        <v>0</v>
      </c>
      <c r="AE23" s="193">
        <f t="shared" si="10"/>
        <v>-241.60305848534585</v>
      </c>
      <c r="AF23" s="195">
        <f>AE23*(1+Constants!$D$20)^-H23</f>
        <v>-218.82733381931683</v>
      </c>
    </row>
    <row r="24" spans="2:35" hidden="1" x14ac:dyDescent="0.3">
      <c r="H24" s="178">
        <v>6</v>
      </c>
      <c r="I24" s="192">
        <f>I23*(1-Constants!$D$11)</f>
        <v>0.97037250935626573</v>
      </c>
      <c r="J24" s="179">
        <f t="shared" si="11"/>
        <v>2559.2562019292322</v>
      </c>
      <c r="K24" s="179">
        <f t="shared" ref="K24:K38" si="17">$F$18*I24</f>
        <v>3144.4881291512411</v>
      </c>
      <c r="L24" s="193">
        <f>IF(J24*'Grid Power'!K23&lt;0,0,J24*'Grid Power'!K23)</f>
        <v>389.63384271783184</v>
      </c>
      <c r="M24" s="194">
        <f>IF($C$20=15,Configurations!$F$35,0)</f>
        <v>1360.3531010425304</v>
      </c>
      <c r="N24" s="194">
        <f>N23*(1+Constants!$D$20)</f>
        <v>55.204040160000005</v>
      </c>
      <c r="O24" s="194">
        <v>0</v>
      </c>
      <c r="P24" s="194">
        <f>K24*'Grid Power'!L23</f>
        <v>337.09797558551253</v>
      </c>
      <c r="Q24" s="194">
        <v>0</v>
      </c>
      <c r="R24" s="193">
        <f>SUM(P24:Q24)-SUM(L24:O24)</f>
        <v>-1468.0930083348496</v>
      </c>
      <c r="S24" s="193">
        <f>R24+'Analysis (Nothing)'!D11</f>
        <v>-204.45380039862971</v>
      </c>
      <c r="T24" s="193">
        <v>0</v>
      </c>
      <c r="U24" s="193">
        <f>V23*Configurations!$C$48</f>
        <v>627.0103455000002</v>
      </c>
      <c r="V24" s="193">
        <f t="shared" ref="V24:V38" si="18">V23+T24-U24</f>
        <v>1463.0241395000003</v>
      </c>
      <c r="W24" s="193">
        <v>0</v>
      </c>
      <c r="X24" s="193">
        <f>Y23*Configurations!$D$48</f>
        <v>104.45177610000002</v>
      </c>
      <c r="Y24" s="193">
        <f t="shared" ref="Y24:Y38" si="19">Y23+W24-X24</f>
        <v>940.0659849000001</v>
      </c>
      <c r="Z24" s="194">
        <v>0</v>
      </c>
      <c r="AA24" s="193">
        <f>AB23*Configurations!$E$48</f>
        <v>192.19415040000001</v>
      </c>
      <c r="AB24" s="193">
        <f t="shared" ref="AB24:AB38" si="20">AB23+Z24-AA24</f>
        <v>768.77660159999994</v>
      </c>
      <c r="AC24" s="194">
        <f t="shared" ref="AC24:AC38" si="21">IF(S24-AA24-X24-U24&lt;0, 0,S24-AA24-X24-U24)</f>
        <v>0</v>
      </c>
      <c r="AD24" s="193">
        <f>AC24*Constants!$D$23</f>
        <v>0</v>
      </c>
      <c r="AE24" s="193">
        <f t="shared" ref="AE24:AE36" si="22">S24-AD24</f>
        <v>-204.45380039862971</v>
      </c>
      <c r="AF24" s="195">
        <f>AE24*(1+Constants!$D$20)^-H24</f>
        <v>-181.54912373319104</v>
      </c>
    </row>
    <row r="25" spans="2:35" hidden="1" x14ac:dyDescent="0.3">
      <c r="H25" s="178">
        <v>7</v>
      </c>
      <c r="I25" s="192">
        <f>I24*(1-Constants!$D$11)</f>
        <v>0.96552064680948435</v>
      </c>
      <c r="J25" s="179">
        <f t="shared" si="11"/>
        <v>2571.3160579709502</v>
      </c>
      <c r="K25" s="179">
        <f t="shared" si="17"/>
        <v>3128.7656885054848</v>
      </c>
      <c r="L25" s="193">
        <f>IF(J25*'Grid Power'!K24&lt;0,0,J25*'Grid Power'!K24)</f>
        <v>409.47403752598058</v>
      </c>
      <c r="M25" s="194">
        <f>IF($C$20=15,Configurations!$F$35,0)</f>
        <v>1360.3531010425304</v>
      </c>
      <c r="N25" s="194">
        <f>N24*(1+Constants!$D$20)</f>
        <v>56.308120963200004</v>
      </c>
      <c r="O25" s="194">
        <v>0</v>
      </c>
      <c r="P25" s="194">
        <f>K25*'Grid Power'!L24</f>
        <v>338.76661056466077</v>
      </c>
      <c r="Q25" s="194">
        <v>0</v>
      </c>
      <c r="R25" s="193">
        <f>SUM(P25:Q25)-SUM(L25:O25)</f>
        <v>-1487.3686489670501</v>
      </c>
      <c r="S25" s="193">
        <f>R25+'Analysis (Nothing)'!D12</f>
        <v>-165.61324675132732</v>
      </c>
      <c r="T25" s="193">
        <v>0</v>
      </c>
      <c r="U25" s="193">
        <f>V24*Configurations!$C$48</f>
        <v>438.90724185000005</v>
      </c>
      <c r="V25" s="193">
        <f t="shared" si="18"/>
        <v>1024.1168976500003</v>
      </c>
      <c r="W25" s="193">
        <v>0</v>
      </c>
      <c r="X25" s="193">
        <f>Y24*Configurations!$D$48</f>
        <v>94.006598490000016</v>
      </c>
      <c r="Y25" s="193">
        <f t="shared" si="19"/>
        <v>846.05938641000012</v>
      </c>
      <c r="Z25" s="194">
        <v>0</v>
      </c>
      <c r="AA25" s="193">
        <f>AB24*Configurations!$E$48</f>
        <v>153.75532032000001</v>
      </c>
      <c r="AB25" s="193">
        <f t="shared" si="20"/>
        <v>615.02128127999993</v>
      </c>
      <c r="AC25" s="194">
        <f t="shared" si="21"/>
        <v>0</v>
      </c>
      <c r="AD25" s="193">
        <f>AC25*Constants!$D$23</f>
        <v>0</v>
      </c>
      <c r="AE25" s="193">
        <f t="shared" si="22"/>
        <v>-165.61324675132732</v>
      </c>
      <c r="AF25" s="195">
        <f>AE25*(1+Constants!$D$20)^-H25</f>
        <v>-144.1762976726657</v>
      </c>
    </row>
    <row r="26" spans="2:35" hidden="1" x14ac:dyDescent="0.3">
      <c r="H26" s="178">
        <v>8</v>
      </c>
      <c r="I26" s="192">
        <f>I25*(1-Constants!$D$11)</f>
        <v>0.96069304357543694</v>
      </c>
      <c r="J26" s="179">
        <f t="shared" si="11"/>
        <v>2583.3156147324589</v>
      </c>
      <c r="K26" s="179">
        <f t="shared" si="17"/>
        <v>3113.1218600629572</v>
      </c>
      <c r="L26" s="193">
        <f>IF(J26*'Grid Power'!K25&lt;0,0,J26*'Grid Power'!K25)</f>
        <v>430.35224877184157</v>
      </c>
      <c r="M26" s="194">
        <f>IF($C$20=15,Configurations!$F$35,0)</f>
        <v>1360.3531010425304</v>
      </c>
      <c r="N26" s="194">
        <f>N25*(1+Constants!$D$20)</f>
        <v>57.434283382464002</v>
      </c>
      <c r="O26" s="194">
        <v>0</v>
      </c>
      <c r="P26" s="194">
        <f>K26*'Grid Power'!L25</f>
        <v>340.44350528695583</v>
      </c>
      <c r="Q26" s="194">
        <v>0</v>
      </c>
      <c r="R26" s="193">
        <f>SUM(P26:Q26)-SUM(L26:O26)</f>
        <v>-1507.69612790988</v>
      </c>
      <c r="S26" s="193">
        <f>R26+'Analysis (Nothing)'!D13</f>
        <v>-124.99985242355524</v>
      </c>
      <c r="T26" s="193">
        <v>0</v>
      </c>
      <c r="U26" s="193">
        <f>V25*Configurations!$C$48</f>
        <v>307.23506929500007</v>
      </c>
      <c r="V26" s="193">
        <f t="shared" si="18"/>
        <v>716.88182835500015</v>
      </c>
      <c r="W26" s="193">
        <v>0</v>
      </c>
      <c r="X26" s="193">
        <f>Y25*Configurations!$D$48</f>
        <v>84.605938641000023</v>
      </c>
      <c r="Y26" s="193">
        <f t="shared" si="19"/>
        <v>761.45344776900015</v>
      </c>
      <c r="Z26" s="194">
        <v>0</v>
      </c>
      <c r="AA26" s="193">
        <f>AB25*Configurations!$E$48</f>
        <v>123.00425625599999</v>
      </c>
      <c r="AB26" s="193">
        <f t="shared" si="20"/>
        <v>492.01702502399996</v>
      </c>
      <c r="AC26" s="194">
        <f t="shared" si="21"/>
        <v>0</v>
      </c>
      <c r="AD26" s="193">
        <f>AC26*Constants!$D$23</f>
        <v>0</v>
      </c>
      <c r="AE26" s="193">
        <f t="shared" si="22"/>
        <v>-124.99985242355524</v>
      </c>
      <c r="AF26" s="195">
        <f>AE26*(1+Constants!$D$20)^-H26</f>
        <v>-106.68617044368933</v>
      </c>
    </row>
    <row r="27" spans="2:35" hidden="1" x14ac:dyDescent="0.3">
      <c r="H27" s="178">
        <v>9</v>
      </c>
      <c r="I27" s="192">
        <f>I26*(1-Constants!$D$11)</f>
        <v>0.95588957835755972</v>
      </c>
      <c r="J27" s="179">
        <f t="shared" si="11"/>
        <v>2595.2551737101608</v>
      </c>
      <c r="K27" s="179">
        <f t="shared" si="17"/>
        <v>3097.5562507626423</v>
      </c>
      <c r="L27" s="193">
        <f>IF(J27*'Grid Power'!K26&lt;0,0,J27*'Grid Power'!K26)</f>
        <v>452.32353826610046</v>
      </c>
      <c r="M27" s="194">
        <f>IF($C$20=15,Configurations!$F$35,0)</f>
        <v>1360.3531010425304</v>
      </c>
      <c r="N27" s="194">
        <f>N26*(1+Constants!$D$20)</f>
        <v>58.582969050113284</v>
      </c>
      <c r="O27" s="194">
        <v>0</v>
      </c>
      <c r="P27" s="194">
        <f>K27*'Grid Power'!L26</f>
        <v>342.12870063812625</v>
      </c>
      <c r="Q27" s="194">
        <v>0</v>
      </c>
      <c r="R27" s="193">
        <f>SUM(P27:Q27)-SUM(L27:O27)</f>
        <v>-1529.1309077206179</v>
      </c>
      <c r="S27" s="193">
        <f>R27+'Analysis (Nothing)'!D14</f>
        <v>-82.52808477622284</v>
      </c>
      <c r="T27" s="193">
        <v>0</v>
      </c>
      <c r="U27" s="193">
        <f>V26*Configurations!$C$48</f>
        <v>215.06454850650005</v>
      </c>
      <c r="V27" s="193">
        <f t="shared" si="18"/>
        <v>501.81727984850011</v>
      </c>
      <c r="W27" s="193">
        <v>0</v>
      </c>
      <c r="X27" s="193">
        <f>Y26*Configurations!$D$48</f>
        <v>76.145344776900018</v>
      </c>
      <c r="Y27" s="193">
        <f t="shared" si="19"/>
        <v>685.30810299210009</v>
      </c>
      <c r="Z27" s="194">
        <v>0</v>
      </c>
      <c r="AA27" s="193">
        <f>AB26*Configurations!$E$48</f>
        <v>98.403405004799993</v>
      </c>
      <c r="AB27" s="193">
        <f t="shared" si="20"/>
        <v>393.61362001919997</v>
      </c>
      <c r="AC27" s="194">
        <f t="shared" si="21"/>
        <v>0</v>
      </c>
      <c r="AD27" s="193">
        <f>AC27*Constants!$D$23</f>
        <v>0</v>
      </c>
      <c r="AE27" s="193">
        <f t="shared" si="22"/>
        <v>-82.52808477622284</v>
      </c>
      <c r="AF27" s="195">
        <f>AE27*(1+Constants!$D$20)^-H27</f>
        <v>-69.055809518889646</v>
      </c>
    </row>
    <row r="28" spans="2:35" hidden="1" x14ac:dyDescent="0.3">
      <c r="H28" s="178">
        <v>10</v>
      </c>
      <c r="I28" s="192">
        <f>I27*(1-Constants!$D$11)</f>
        <v>0.95111013046577186</v>
      </c>
      <c r="J28" s="179">
        <f t="shared" si="11"/>
        <v>2607.1350348929736</v>
      </c>
      <c r="K28" s="179">
        <f t="shared" si="17"/>
        <v>3082.0684695088289</v>
      </c>
      <c r="L28" s="193">
        <f>IF(J28*'Grid Power'!K27&lt;0,0,J28*'Grid Power'!K27)</f>
        <v>475.44589884662719</v>
      </c>
      <c r="M28" s="194">
        <f>IF($C$20=15,Configurations!$F$35,0)</f>
        <v>1360.3531010425304</v>
      </c>
      <c r="N28" s="194">
        <f>N27*(1+Constants!$D$20)</f>
        <v>59.754628431115549</v>
      </c>
      <c r="O28" s="194">
        <f>Configurations!$D$39+Configurations!$D$41</f>
        <v>6330.8</v>
      </c>
      <c r="P28" s="194">
        <f>K28*'Grid Power'!L27</f>
        <v>343.82223770628497</v>
      </c>
      <c r="Q28" s="194">
        <v>0</v>
      </c>
      <c r="R28" s="193">
        <f>SUM(P28:Q28)-SUM(L28:O28)</f>
        <v>-7882.5313906139891</v>
      </c>
      <c r="S28" s="193">
        <f>R28+'Analysis (Nothing)'!D15</f>
        <v>-6368.9082274681805</v>
      </c>
      <c r="T28" s="193">
        <f>Configurations!$D$39/2</f>
        <v>1862</v>
      </c>
      <c r="U28" s="193">
        <f>V27*Configurations!$C$48</f>
        <v>150.54518395455003</v>
      </c>
      <c r="V28" s="193">
        <f t="shared" si="18"/>
        <v>2213.2720958939503</v>
      </c>
      <c r="W28" s="193">
        <v>0</v>
      </c>
      <c r="X28" s="193">
        <f>Y27*Configurations!$D$48</f>
        <v>68.530810299210017</v>
      </c>
      <c r="Y28" s="193">
        <f t="shared" si="19"/>
        <v>616.77729269289011</v>
      </c>
      <c r="Z28" s="194">
        <f>Configurations!$D$41/2</f>
        <v>1303.4000000000001</v>
      </c>
      <c r="AA28" s="193">
        <f>AB27*Configurations!$E$48</f>
        <v>78.72272400384</v>
      </c>
      <c r="AB28" s="193">
        <f t="shared" si="20"/>
        <v>1618.29089601536</v>
      </c>
      <c r="AC28" s="194">
        <f t="shared" si="21"/>
        <v>0</v>
      </c>
      <c r="AD28" s="193">
        <f>AC28*Constants!$D$23</f>
        <v>0</v>
      </c>
      <c r="AE28" s="193">
        <f t="shared" si="22"/>
        <v>-6368.9082274681805</v>
      </c>
      <c r="AF28" s="195">
        <f>AE28*(1+Constants!$D$20)^-H28</f>
        <v>-5224.7230364644111</v>
      </c>
    </row>
    <row r="29" spans="2:35" hidden="1" x14ac:dyDescent="0.3">
      <c r="H29" s="178">
        <v>11</v>
      </c>
      <c r="I29" s="192">
        <f>I28*(1-Constants!$D$11)</f>
        <v>0.94635457981344295</v>
      </c>
      <c r="J29" s="179">
        <f t="shared" si="11"/>
        <v>2618.9554967698723</v>
      </c>
      <c r="K29" s="179">
        <f t="shared" si="17"/>
        <v>3066.6581271612845</v>
      </c>
      <c r="L29" s="193">
        <f>IF(J29*'Grid Power'!K28&lt;0,0,J29*'Grid Power'!K28)</f>
        <v>499.78041013948183</v>
      </c>
      <c r="M29" s="194">
        <f>IF($C$20=15,Configurations!$F$35,0)</f>
        <v>1360.3531010425304</v>
      </c>
      <c r="N29" s="194">
        <f>N28*(1+Constants!$D$20)</f>
        <v>60.949720999737863</v>
      </c>
      <c r="O29" s="194">
        <v>0</v>
      </c>
      <c r="P29" s="194">
        <f>K29*'Grid Power'!L28</f>
        <v>345.52415778293107</v>
      </c>
      <c r="Q29" s="194">
        <v>0</v>
      </c>
      <c r="R29" s="193">
        <f>SUM(P29:Q29)-SUM(L29:O29)</f>
        <v>-1575.5590743988189</v>
      </c>
      <c r="S29" s="193">
        <f>R29+'Analysis (Nothing)'!D16</f>
        <v>8.3538254157622305</v>
      </c>
      <c r="T29" s="193">
        <f>Configurations!$D$39/2</f>
        <v>1862</v>
      </c>
      <c r="U29" s="193">
        <f>V28*Configurations!$C$48</f>
        <v>663.98162876818503</v>
      </c>
      <c r="V29" s="193">
        <f t="shared" si="18"/>
        <v>3411.2904671257652</v>
      </c>
      <c r="W29" s="193">
        <v>0</v>
      </c>
      <c r="X29" s="193">
        <f>Y28*Configurations!$D$48</f>
        <v>61.677729269289017</v>
      </c>
      <c r="Y29" s="193">
        <f t="shared" si="19"/>
        <v>555.09956342360113</v>
      </c>
      <c r="Z29" s="194">
        <f>Configurations!$D$41/2</f>
        <v>1303.4000000000001</v>
      </c>
      <c r="AA29" s="193">
        <f>AB28*Configurations!$E$48</f>
        <v>323.658179203072</v>
      </c>
      <c r="AB29" s="193">
        <f t="shared" si="20"/>
        <v>2598.0327168122881</v>
      </c>
      <c r="AC29" s="194">
        <f t="shared" si="21"/>
        <v>0</v>
      </c>
      <c r="AD29" s="193">
        <f>AC29*Constants!$D$23</f>
        <v>0</v>
      </c>
      <c r="AE29" s="193">
        <f t="shared" si="22"/>
        <v>8.3538254157622305</v>
      </c>
      <c r="AF29" s="195">
        <f>AE29*(1+Constants!$D$20)^-H29</f>
        <v>6.7186730169356954</v>
      </c>
    </row>
    <row r="30" spans="2:35" hidden="1" x14ac:dyDescent="0.3">
      <c r="H30" s="178">
        <v>12</v>
      </c>
      <c r="I30" s="192">
        <f>I29*(1-Constants!$D$11)</f>
        <v>0.94162280691437572</v>
      </c>
      <c r="J30" s="179">
        <f t="shared" si="11"/>
        <v>2630.7168563373866</v>
      </c>
      <c r="K30" s="179">
        <f t="shared" si="17"/>
        <v>3051.3248365254781</v>
      </c>
      <c r="L30" s="193">
        <f>IF(J30*'Grid Power'!K29&lt;0,0,J30*'Grid Power'!K29)</f>
        <v>525.391402566951</v>
      </c>
      <c r="M30" s="194">
        <f>IF($C$20=15,Configurations!$F$35,0)</f>
        <v>1360.3531010425304</v>
      </c>
      <c r="N30" s="194">
        <f>N29*(1+Constants!$D$20)</f>
        <v>62.168715419732621</v>
      </c>
      <c r="O30" s="194">
        <v>0</v>
      </c>
      <c r="P30" s="194">
        <f>K30*'Grid Power'!L29</f>
        <v>347.23450236395655</v>
      </c>
      <c r="Q30" s="194">
        <v>0</v>
      </c>
      <c r="R30" s="193">
        <f>SUM(P30:Q30)-SUM(L30:O30)</f>
        <v>-1600.6787166652573</v>
      </c>
      <c r="S30" s="193">
        <f>R30+'Analysis (Nothing)'!D17</f>
        <v>56.956785405868004</v>
      </c>
      <c r="T30" s="193">
        <v>0</v>
      </c>
      <c r="U30" s="193">
        <f>V29*Configurations!$C$48</f>
        <v>1023.3871401377295</v>
      </c>
      <c r="V30" s="193">
        <f t="shared" si="18"/>
        <v>2387.9033269880356</v>
      </c>
      <c r="W30" s="193">
        <v>0</v>
      </c>
      <c r="X30" s="193">
        <f>Y29*Configurations!$D$48</f>
        <v>55.509956342360113</v>
      </c>
      <c r="Y30" s="193">
        <f t="shared" si="19"/>
        <v>499.58960708124101</v>
      </c>
      <c r="Z30" s="194">
        <v>0</v>
      </c>
      <c r="AA30" s="193">
        <f>AB29*Configurations!$E$48</f>
        <v>519.60654336245761</v>
      </c>
      <c r="AB30" s="193">
        <f t="shared" si="20"/>
        <v>2078.4261734498305</v>
      </c>
      <c r="AC30" s="194">
        <f t="shared" si="21"/>
        <v>0</v>
      </c>
      <c r="AD30" s="193">
        <f>AC30*Constants!$D$23</f>
        <v>0</v>
      </c>
      <c r="AE30" s="193">
        <f t="shared" si="22"/>
        <v>56.956785405868004</v>
      </c>
      <c r="AF30" s="195">
        <f>AE30*(1+Constants!$D$20)^-H30</f>
        <v>44.910036595595805</v>
      </c>
    </row>
    <row r="31" spans="2:35" hidden="1" x14ac:dyDescent="0.3">
      <c r="H31" s="178">
        <v>13</v>
      </c>
      <c r="I31" s="192">
        <f>I30*(1-Constants!$D$11)</f>
        <v>0.93691469287980389</v>
      </c>
      <c r="J31" s="179">
        <f t="shared" si="11"/>
        <v>2642.4194091070631</v>
      </c>
      <c r="K31" s="179">
        <f t="shared" si="17"/>
        <v>3036.068212342851</v>
      </c>
      <c r="L31" s="193">
        <f>IF(J31*'Grid Power'!K30&lt;0,0,J31*'Grid Power'!K30)</f>
        <v>552.34663003746516</v>
      </c>
      <c r="M31" s="194">
        <f>IF($C$20=15,Configurations!$F$35,0)</f>
        <v>1360.3531010425304</v>
      </c>
      <c r="N31" s="194">
        <f>N30*(1+Constants!$D$20)</f>
        <v>63.412089728127278</v>
      </c>
      <c r="O31" s="194">
        <v>0</v>
      </c>
      <c r="P31" s="194">
        <f>K31*'Grid Power'!L30</f>
        <v>348.95331315065818</v>
      </c>
      <c r="Q31" s="194">
        <v>0</v>
      </c>
      <c r="R31" s="193">
        <f>SUM(P31:Q31)-SUM(L31:O31)</f>
        <v>-1627.1585076574647</v>
      </c>
      <c r="S31" s="193">
        <f>R31+'Analysis (Nothing)'!D18</f>
        <v>107.80419636134025</v>
      </c>
      <c r="T31" s="193">
        <v>0</v>
      </c>
      <c r="U31" s="193">
        <f>V30*Configurations!$C$48</f>
        <v>716.37099809641063</v>
      </c>
      <c r="V31" s="193">
        <f t="shared" si="18"/>
        <v>1671.532328891625</v>
      </c>
      <c r="W31" s="193">
        <v>0</v>
      </c>
      <c r="X31" s="193">
        <f>Y30*Configurations!$D$48</f>
        <v>49.958960708124103</v>
      </c>
      <c r="Y31" s="193">
        <f t="shared" si="19"/>
        <v>449.63064637311692</v>
      </c>
      <c r="Z31" s="194">
        <v>0</v>
      </c>
      <c r="AA31" s="193">
        <f>AB30*Configurations!$E$48</f>
        <v>415.68523468996614</v>
      </c>
      <c r="AB31" s="193">
        <f t="shared" si="20"/>
        <v>1662.7409387598643</v>
      </c>
      <c r="AC31" s="194">
        <f t="shared" si="21"/>
        <v>0</v>
      </c>
      <c r="AD31" s="193">
        <f>AC31*Constants!$D$23</f>
        <v>0</v>
      </c>
      <c r="AE31" s="193">
        <f t="shared" si="22"/>
        <v>107.80419636134025</v>
      </c>
      <c r="AF31" s="195">
        <f>AE31*(1+Constants!$D$20)^-H31</f>
        <v>83.336150127432973</v>
      </c>
    </row>
    <row r="32" spans="2:35" hidden="1" x14ac:dyDescent="0.3">
      <c r="H32" s="178">
        <v>14</v>
      </c>
      <c r="I32" s="192">
        <f>I31*(1-Constants!$D$11)</f>
        <v>0.9322301194154049</v>
      </c>
      <c r="J32" s="179">
        <f t="shared" si="11"/>
        <v>2654.0634491128922</v>
      </c>
      <c r="K32" s="179">
        <f t="shared" si="17"/>
        <v>3020.8878712811365</v>
      </c>
      <c r="L32" s="193">
        <f>IF(J32*'Grid Power'!K31&lt;0,0,J32*'Grid Power'!K31)</f>
        <v>580.71745177508433</v>
      </c>
      <c r="M32" s="194">
        <f>IF($C$20=15,Configurations!$F$35,0)</f>
        <v>1360.3531010425304</v>
      </c>
      <c r="N32" s="194">
        <f>N31*(1+Constants!$D$20)</f>
        <v>64.680331522689826</v>
      </c>
      <c r="O32" s="194">
        <v>0</v>
      </c>
      <c r="P32" s="194">
        <f>K32*'Grid Power'!L31</f>
        <v>350.68063205075396</v>
      </c>
      <c r="Q32" s="194">
        <v>0</v>
      </c>
      <c r="R32" s="193">
        <f>SUM(P32:Q32)-SUM(L32:O32)</f>
        <v>-1655.0702522895506</v>
      </c>
      <c r="S32" s="193">
        <f>R32+'Analysis (Nothing)'!D19</f>
        <v>161.00467238579063</v>
      </c>
      <c r="T32" s="193">
        <v>0</v>
      </c>
      <c r="U32" s="193">
        <f>V31*Configurations!$C$48</f>
        <v>501.45969866748749</v>
      </c>
      <c r="V32" s="193">
        <f t="shared" si="18"/>
        <v>1170.0726302241374</v>
      </c>
      <c r="W32" s="193">
        <v>0</v>
      </c>
      <c r="X32" s="193">
        <f>Y31*Configurations!$D$48</f>
        <v>44.963064637311696</v>
      </c>
      <c r="Y32" s="193">
        <f t="shared" si="19"/>
        <v>404.66758173580524</v>
      </c>
      <c r="Z32" s="194">
        <v>0</v>
      </c>
      <c r="AA32" s="193">
        <f>AB31*Configurations!$E$48</f>
        <v>332.54818775197288</v>
      </c>
      <c r="AB32" s="193">
        <f t="shared" si="20"/>
        <v>1330.1927510078915</v>
      </c>
      <c r="AC32" s="194">
        <f t="shared" si="21"/>
        <v>0</v>
      </c>
      <c r="AD32" s="193">
        <f>AC32*Constants!$D$23</f>
        <v>0</v>
      </c>
      <c r="AE32" s="193">
        <f t="shared" si="22"/>
        <v>161.00467238579063</v>
      </c>
      <c r="AF32" s="195">
        <f>AE32*(1+Constants!$D$20)^-H32</f>
        <v>122.02142004321057</v>
      </c>
    </row>
    <row r="33" spans="8:35" hidden="1" x14ac:dyDescent="0.3">
      <c r="H33" s="178">
        <v>15</v>
      </c>
      <c r="I33" s="192">
        <f>I32*(1-Constants!$D$11)</f>
        <v>0.92756896881832784</v>
      </c>
      <c r="J33" s="179">
        <f t="shared" si="11"/>
        <v>2665.6492689186912</v>
      </c>
      <c r="K33" s="179">
        <f t="shared" si="17"/>
        <v>3005.7834319247308</v>
      </c>
      <c r="L33" s="193">
        <f>IF(J33*'Grid Power'!K32&lt;0,0,J33*'Grid Power'!K32)</f>
        <v>610.57902377026585</v>
      </c>
      <c r="M33" s="194">
        <f>IF($C$20=15,Configurations!$F$35,0)</f>
        <v>1360.3531010425304</v>
      </c>
      <c r="N33" s="194">
        <f>N32*(1+Constants!$D$20)</f>
        <v>65.973938153143621</v>
      </c>
      <c r="O33" s="194">
        <v>0</v>
      </c>
      <c r="P33" s="194">
        <f>K33*'Grid Power'!L32</f>
        <v>352.41650117940515</v>
      </c>
      <c r="Q33" s="194">
        <v>0</v>
      </c>
      <c r="R33" s="193">
        <f>SUM(P33:Q33)-SUM(L33:O33)</f>
        <v>-1684.4895617865345</v>
      </c>
      <c r="S33" s="193">
        <f>R33+'Analysis (Nothing)'!D20</f>
        <v>216.67214749936147</v>
      </c>
      <c r="T33" s="193">
        <v>0</v>
      </c>
      <c r="U33" s="193">
        <f>V32*Configurations!$C$48</f>
        <v>351.02178906724117</v>
      </c>
      <c r="V33" s="193">
        <f t="shared" si="18"/>
        <v>819.05084115689624</v>
      </c>
      <c r="W33" s="193">
        <v>0</v>
      </c>
      <c r="X33" s="193">
        <f>Y32*Configurations!$D$48</f>
        <v>40.46675817358053</v>
      </c>
      <c r="Y33" s="193">
        <f t="shared" si="19"/>
        <v>364.20082356222474</v>
      </c>
      <c r="Z33" s="194">
        <v>0</v>
      </c>
      <c r="AA33" s="193">
        <f>AB32*Configurations!$E$48</f>
        <v>266.03855020157829</v>
      </c>
      <c r="AB33" s="193">
        <f t="shared" si="20"/>
        <v>1064.1542008063132</v>
      </c>
      <c r="AC33" s="194">
        <f t="shared" si="21"/>
        <v>0</v>
      </c>
      <c r="AD33" s="193">
        <f>AC33*Constants!$D$23</f>
        <v>0</v>
      </c>
      <c r="AE33" s="193">
        <f t="shared" si="22"/>
        <v>216.67214749936147</v>
      </c>
      <c r="AF33" s="195">
        <f>AE33*(1+Constants!$D$20)^-H33</f>
        <v>160.99059717027069</v>
      </c>
    </row>
    <row r="34" spans="8:35" x14ac:dyDescent="0.3">
      <c r="H34" s="178">
        <v>16</v>
      </c>
      <c r="I34" s="192">
        <f>I33*(1-Constants!$D$11)</f>
        <v>0.92293112397423616</v>
      </c>
      <c r="J34" s="179">
        <f t="shared" si="11"/>
        <v>2677.1771596254612</v>
      </c>
      <c r="K34" s="179">
        <f t="shared" si="17"/>
        <v>2990.7545147651072</v>
      </c>
      <c r="L34" s="193">
        <f>IF(J34*'Grid Power'!K33&lt;0,0,J34*'Grid Power'!K33)</f>
        <v>642.01050035892729</v>
      </c>
      <c r="M34" s="194">
        <v>0</v>
      </c>
      <c r="N34" s="194">
        <f>N33*(1+Constants!$D$20)</f>
        <v>67.293416916206496</v>
      </c>
      <c r="O34" s="194">
        <v>0</v>
      </c>
      <c r="P34" s="194">
        <f>K34*'Grid Power'!L33</f>
        <v>354.16096286024322</v>
      </c>
      <c r="Q34" s="194">
        <v>0</v>
      </c>
      <c r="R34" s="193">
        <f>SUM(P34:Q34)-SUM(L34:O34)</f>
        <v>-355.1429544148906</v>
      </c>
      <c r="S34" s="193">
        <f>R34+'Analysis (Nothing)'!D21</f>
        <v>1635.2792386926444</v>
      </c>
      <c r="T34" s="193">
        <v>0</v>
      </c>
      <c r="U34" s="193">
        <f>V33*Configurations!$C$48</f>
        <v>245.71525234706885</v>
      </c>
      <c r="V34" s="193">
        <f t="shared" si="18"/>
        <v>573.33558880982741</v>
      </c>
      <c r="W34" s="193">
        <v>0</v>
      </c>
      <c r="X34" s="193">
        <f>Y33*Configurations!$D$48</f>
        <v>36.420082356222473</v>
      </c>
      <c r="Y34" s="193">
        <f t="shared" si="19"/>
        <v>327.78074120600229</v>
      </c>
      <c r="Z34" s="194">
        <v>0</v>
      </c>
      <c r="AA34" s="193">
        <f>AB33*Configurations!$E$48</f>
        <v>212.83084016126264</v>
      </c>
      <c r="AB34" s="193">
        <f t="shared" si="20"/>
        <v>851.32336064505057</v>
      </c>
      <c r="AC34" s="194">
        <f t="shared" si="21"/>
        <v>1140.3130638280904</v>
      </c>
      <c r="AD34" s="193">
        <f>AC34*Constants!$D$23</f>
        <v>114.03130638280905</v>
      </c>
      <c r="AE34" s="193">
        <f t="shared" si="22"/>
        <v>1521.2479323098353</v>
      </c>
      <c r="AF34" s="195">
        <f>AE34*(1+Constants!$D$20)^-H34</f>
        <v>1108.1466879125346</v>
      </c>
    </row>
    <row r="35" spans="8:35" x14ac:dyDescent="0.3">
      <c r="H35" s="178">
        <v>17</v>
      </c>
      <c r="I35" s="192">
        <f>I34*(1-Constants!$D$11)</f>
        <v>0.91831646835436498</v>
      </c>
      <c r="J35" s="179">
        <f t="shared" si="11"/>
        <v>2688.6474108786979</v>
      </c>
      <c r="K35" s="179">
        <f t="shared" si="17"/>
        <v>2975.8007421912816</v>
      </c>
      <c r="L35" s="193">
        <f>IF(J35*'Grid Power'!K34&lt;0,0,J35*'Grid Power'!K34)</f>
        <v>675.09524646342618</v>
      </c>
      <c r="M35" s="194">
        <v>0</v>
      </c>
      <c r="N35" s="194">
        <f>N34*(1+Constants!$D$20)</f>
        <v>68.639285254530634</v>
      </c>
      <c r="O35" s="194">
        <v>0</v>
      </c>
      <c r="P35" s="194">
        <f>K35*'Grid Power'!L34</f>
        <v>355.91405962640141</v>
      </c>
      <c r="Q35" s="194">
        <v>0</v>
      </c>
      <c r="R35" s="193">
        <f>SUM(P35:Q35)-SUM(L35:O35)</f>
        <v>-387.82047209155536</v>
      </c>
      <c r="S35" s="193">
        <f>R35+'Analysis (Nothing)'!D22</f>
        <v>1696.2451167187799</v>
      </c>
      <c r="T35" s="193">
        <v>0</v>
      </c>
      <c r="U35" s="193">
        <f>V34*Configurations!$C$48</f>
        <v>172.00067664294821</v>
      </c>
      <c r="V35" s="193">
        <f t="shared" si="18"/>
        <v>401.33491216687923</v>
      </c>
      <c r="W35" s="193">
        <v>0</v>
      </c>
      <c r="X35" s="193">
        <f>Y34*Configurations!$D$48</f>
        <v>32.77807412060023</v>
      </c>
      <c r="Y35" s="193">
        <f t="shared" si="19"/>
        <v>295.00266708540204</v>
      </c>
      <c r="Z35" s="194">
        <v>0</v>
      </c>
      <c r="AA35" s="193">
        <f>AB34*Configurations!$E$48</f>
        <v>170.26467212901014</v>
      </c>
      <c r="AB35" s="193">
        <f t="shared" si="20"/>
        <v>681.05868851604043</v>
      </c>
      <c r="AC35" s="194">
        <f t="shared" si="21"/>
        <v>1321.2016938262213</v>
      </c>
      <c r="AD35" s="193">
        <f>AC35*Constants!$D$23</f>
        <v>132.12016938262215</v>
      </c>
      <c r="AE35" s="193">
        <f t="shared" si="22"/>
        <v>1564.1249473361577</v>
      </c>
      <c r="AF35" s="195">
        <f>AE35*(1+Constants!$D$20)^-H35</f>
        <v>1117.0394804049229</v>
      </c>
      <c r="AG35" s="202"/>
      <c r="AH35" s="202"/>
    </row>
    <row r="36" spans="8:35" x14ac:dyDescent="0.3">
      <c r="H36" s="178">
        <v>18</v>
      </c>
      <c r="I36" s="192">
        <f>I35*(1-Constants!$D$11)</f>
        <v>0.91372488601259316</v>
      </c>
      <c r="J36" s="179">
        <f t="shared" si="11"/>
        <v>2700.0603108756677</v>
      </c>
      <c r="K36" s="179">
        <f t="shared" si="17"/>
        <v>2960.9217384803251</v>
      </c>
      <c r="L36" s="193">
        <f>IF(J36*'Grid Power'!K35&lt;0,0,J36*'Grid Power'!K35)</f>
        <v>709.92106105708103</v>
      </c>
      <c r="M36" s="194">
        <v>0</v>
      </c>
      <c r="N36" s="194">
        <f>N35*(1+Constants!$D$20)</f>
        <v>70.012070959621255</v>
      </c>
      <c r="O36" s="194">
        <v>0</v>
      </c>
      <c r="P36" s="194">
        <f>K36*'Grid Power'!L35</f>
        <v>357.67583422155212</v>
      </c>
      <c r="Q36" s="194">
        <v>0</v>
      </c>
      <c r="R36" s="193">
        <f>SUM(P36:Q36)-SUM(L36:O36)</f>
        <v>-422.25729779515018</v>
      </c>
      <c r="S36" s="193">
        <f>R36+'Analysis (Nothing)'!D23</f>
        <v>1760.0544009036228</v>
      </c>
      <c r="T36" s="193">
        <v>0</v>
      </c>
      <c r="U36" s="193">
        <f>V35*Configurations!$C$48</f>
        <v>120.40047365006376</v>
      </c>
      <c r="V36" s="193">
        <f t="shared" si="18"/>
        <v>280.93443851681548</v>
      </c>
      <c r="W36" s="193">
        <v>0</v>
      </c>
      <c r="X36" s="193">
        <f>Y35*Configurations!$D$48</f>
        <v>29.500266708540206</v>
      </c>
      <c r="Y36" s="193">
        <f t="shared" si="19"/>
        <v>265.50240037686183</v>
      </c>
      <c r="Z36" s="194">
        <v>0</v>
      </c>
      <c r="AA36" s="193">
        <f>AB35*Configurations!$E$48</f>
        <v>136.21173770320809</v>
      </c>
      <c r="AB36" s="193">
        <f t="shared" si="20"/>
        <v>544.84695081283235</v>
      </c>
      <c r="AC36" s="194">
        <f t="shared" si="21"/>
        <v>1473.9419228418108</v>
      </c>
      <c r="AD36" s="193">
        <f>AC36*Constants!$D$23</f>
        <v>147.39419228418109</v>
      </c>
      <c r="AE36" s="193">
        <f t="shared" si="22"/>
        <v>1612.6602086194416</v>
      </c>
      <c r="AF36" s="195">
        <f>AE36*(1+Constants!$D$20)^-H36</f>
        <v>1129.1191636989199</v>
      </c>
      <c r="AG36" s="202"/>
      <c r="AH36" s="202"/>
    </row>
    <row r="37" spans="8:35" x14ac:dyDescent="0.3">
      <c r="H37" s="178">
        <v>19</v>
      </c>
      <c r="I37" s="192">
        <f>I36*(1-Constants!$D$11)</f>
        <v>0.90915626158253016</v>
      </c>
      <c r="J37" s="179">
        <f t="shared" si="11"/>
        <v>2711.4161463726532</v>
      </c>
      <c r="K37" s="179">
        <f t="shared" si="17"/>
        <v>2946.1171297879237</v>
      </c>
      <c r="L37" s="193">
        <f>IF(J37*'Grid Power'!K36&lt;0,0,J37*'Grid Power'!K36)</f>
        <v>746.58041244333833</v>
      </c>
      <c r="M37" s="194">
        <v>0</v>
      </c>
      <c r="N37" s="194">
        <f>N36*(1+Constants!$D$20)</f>
        <v>71.412312378813681</v>
      </c>
      <c r="O37" s="194">
        <v>0</v>
      </c>
      <c r="P37" s="194">
        <f>K37*'Grid Power'!L36</f>
        <v>359.44632960094884</v>
      </c>
      <c r="Q37" s="194">
        <v>0</v>
      </c>
      <c r="R37" s="193">
        <f>SUM(P37:Q37)-SUM(L37:O37)</f>
        <v>-458.54639522120317</v>
      </c>
      <c r="S37" s="193">
        <f>R37+'Analysis (Nothing)'!D24</f>
        <v>1826.8450577972185</v>
      </c>
      <c r="T37" s="193">
        <v>0</v>
      </c>
      <c r="U37" s="193">
        <f>V36*Configurations!$C$48</f>
        <v>84.28033155504464</v>
      </c>
      <c r="V37" s="193">
        <f t="shared" si="18"/>
        <v>196.65410696177082</v>
      </c>
      <c r="W37" s="193">
        <v>0</v>
      </c>
      <c r="X37" s="193">
        <f>Y36*Configurations!$D$48</f>
        <v>26.550240037686184</v>
      </c>
      <c r="Y37" s="193">
        <f t="shared" si="19"/>
        <v>238.95216033917563</v>
      </c>
      <c r="Z37" s="194">
        <v>0</v>
      </c>
      <c r="AA37" s="193">
        <f>AB36*Configurations!$E$48</f>
        <v>108.96939016256647</v>
      </c>
      <c r="AB37" s="193">
        <f t="shared" si="20"/>
        <v>435.87756065026588</v>
      </c>
      <c r="AC37" s="194">
        <f t="shared" si="21"/>
        <v>1607.0450960419214</v>
      </c>
      <c r="AD37" s="193">
        <f>AC37*Constants!$D$23</f>
        <v>160.70450960419214</v>
      </c>
      <c r="AE37" s="193">
        <f>S37-AD37</f>
        <v>1666.1405481930265</v>
      </c>
      <c r="AF37" s="195">
        <f>AE37*(1+Constants!$D$20)^-H37</f>
        <v>1143.6901223801083</v>
      </c>
      <c r="AG37" s="202"/>
      <c r="AH37" s="202"/>
    </row>
    <row r="38" spans="8:35" x14ac:dyDescent="0.3">
      <c r="H38" s="196">
        <v>20</v>
      </c>
      <c r="I38" s="197">
        <f>I37*(1-Constants!$D$11)</f>
        <v>0.90461048027461755</v>
      </c>
      <c r="J38" s="198">
        <f t="shared" si="11"/>
        <v>2722.7152026921535</v>
      </c>
      <c r="K38" s="198">
        <f t="shared" si="17"/>
        <v>2931.3865441389839</v>
      </c>
      <c r="L38" s="199">
        <f>IF(J38*'Grid Power'!K37&lt;0,0,J38*'Grid Power'!K37)</f>
        <v>785.17068597168918</v>
      </c>
      <c r="M38" s="200">
        <v>0</v>
      </c>
      <c r="N38" s="200">
        <f>N37*(1+Constants!$D$20)</f>
        <v>72.840558626389949</v>
      </c>
      <c r="O38" s="200">
        <v>0</v>
      </c>
      <c r="P38" s="200">
        <f>K38*'Grid Power'!L37</f>
        <v>361.2255889324735</v>
      </c>
      <c r="Q38" s="200">
        <f>V38+Y38+AB38</f>
        <v>701.41686769871035</v>
      </c>
      <c r="R38" s="199">
        <f>SUM(P38:Q38)-SUM(L38:O38)</f>
        <v>204.63121203310482</v>
      </c>
      <c r="S38" s="199">
        <f>R38+'Analysis (Nothing)'!D25</f>
        <v>2598.1786877105692</v>
      </c>
      <c r="T38" s="199">
        <v>0</v>
      </c>
      <c r="U38" s="199">
        <f>V37*Configurations!$C$48</f>
        <v>58.996232088531244</v>
      </c>
      <c r="V38" s="199">
        <f t="shared" si="18"/>
        <v>137.65787487323956</v>
      </c>
      <c r="W38" s="199">
        <v>0</v>
      </c>
      <c r="X38" s="199">
        <f>Y37*Configurations!$D$48</f>
        <v>23.895216033917563</v>
      </c>
      <c r="Y38" s="199">
        <f t="shared" si="19"/>
        <v>215.05694430525807</v>
      </c>
      <c r="Z38" s="200">
        <v>0</v>
      </c>
      <c r="AA38" s="199">
        <f>AB37*Configurations!$E$48</f>
        <v>87.175512130053178</v>
      </c>
      <c r="AB38" s="199">
        <f t="shared" si="20"/>
        <v>348.70204852021271</v>
      </c>
      <c r="AC38" s="200">
        <f t="shared" si="21"/>
        <v>2428.1117274580674</v>
      </c>
      <c r="AD38" s="199">
        <f>AC38*Constants!$D$23</f>
        <v>242.81117274580674</v>
      </c>
      <c r="AE38" s="199">
        <f>S38-AD38</f>
        <v>2355.3675149647624</v>
      </c>
      <c r="AF38" s="201">
        <f>AE38*(1+Constants!$D$20)^-H38</f>
        <v>1585.0948165052494</v>
      </c>
      <c r="AG38" s="202"/>
      <c r="AH38" s="202"/>
    </row>
    <row r="39" spans="8:35" x14ac:dyDescent="0.3">
      <c r="H39" s="202"/>
      <c r="I39" s="192"/>
      <c r="J39" s="179"/>
      <c r="K39" s="179"/>
      <c r="L39" s="193"/>
      <c r="M39" s="194"/>
      <c r="N39" s="194"/>
      <c r="O39" s="194"/>
      <c r="P39" s="194"/>
      <c r="Q39" s="194"/>
      <c r="R39" s="193"/>
      <c r="S39" s="193"/>
      <c r="T39" s="193"/>
      <c r="U39" s="193"/>
      <c r="V39" s="193"/>
      <c r="W39" s="193"/>
      <c r="X39" s="193"/>
      <c r="Y39" s="193"/>
      <c r="Z39" s="194"/>
      <c r="AA39" s="193"/>
      <c r="AB39" s="193"/>
      <c r="AC39" s="194"/>
      <c r="AD39" s="193"/>
      <c r="AE39" s="193"/>
      <c r="AF39" s="194"/>
      <c r="AG39" s="202"/>
      <c r="AH39" s="202"/>
    </row>
    <row r="40" spans="8:35" x14ac:dyDescent="0.3">
      <c r="H40" s="260" t="s">
        <v>203</v>
      </c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02"/>
      <c r="AH40" s="172" t="s">
        <v>194</v>
      </c>
      <c r="AI40" s="173">
        <f>IRR(AE44:AE84)</f>
        <v>9.1424259325044277E-2</v>
      </c>
    </row>
    <row r="41" spans="8:35" x14ac:dyDescent="0.3">
      <c r="H41" s="260" t="s">
        <v>56</v>
      </c>
      <c r="I41" s="261" t="s">
        <v>116</v>
      </c>
      <c r="J41" s="262"/>
      <c r="K41" s="263"/>
      <c r="L41" s="261" t="s">
        <v>6</v>
      </c>
      <c r="M41" s="262"/>
      <c r="N41" s="262"/>
      <c r="O41" s="263"/>
      <c r="P41" s="262"/>
      <c r="Q41" s="263"/>
      <c r="R41" s="261" t="s">
        <v>174</v>
      </c>
      <c r="S41" s="263"/>
      <c r="T41" s="261" t="s">
        <v>229</v>
      </c>
      <c r="U41" s="262"/>
      <c r="V41" s="263"/>
      <c r="W41" s="261" t="s">
        <v>230</v>
      </c>
      <c r="X41" s="262"/>
      <c r="Y41" s="263"/>
      <c r="Z41" s="261" t="s">
        <v>247</v>
      </c>
      <c r="AA41" s="262"/>
      <c r="AB41" s="263"/>
      <c r="AC41" s="170"/>
      <c r="AD41" s="170"/>
      <c r="AE41" s="260" t="s">
        <v>197</v>
      </c>
      <c r="AF41" s="260"/>
      <c r="AG41" s="202"/>
      <c r="AH41" s="172" t="s">
        <v>195</v>
      </c>
      <c r="AI41" s="177">
        <f>IRR(AF44:AF84)</f>
        <v>7.0023783650845495E-2</v>
      </c>
    </row>
    <row r="42" spans="8:35" x14ac:dyDescent="0.3">
      <c r="H42" s="260"/>
      <c r="I42" s="258" t="s">
        <v>153</v>
      </c>
      <c r="J42" s="176" t="s">
        <v>170</v>
      </c>
      <c r="K42" s="176" t="s">
        <v>243</v>
      </c>
      <c r="L42" s="176" t="s">
        <v>162</v>
      </c>
      <c r="M42" s="176" t="s">
        <v>139</v>
      </c>
      <c r="N42" s="176" t="s">
        <v>164</v>
      </c>
      <c r="O42" s="176" t="s">
        <v>226</v>
      </c>
      <c r="P42" s="176" t="s">
        <v>165</v>
      </c>
      <c r="Q42" s="176" t="s">
        <v>146</v>
      </c>
      <c r="R42" s="176" t="s">
        <v>174</v>
      </c>
      <c r="S42" s="176" t="s">
        <v>177</v>
      </c>
      <c r="T42" s="176" t="str">
        <f>"+CCA"</f>
        <v>+CCA</v>
      </c>
      <c r="U42" s="176" t="s">
        <v>8</v>
      </c>
      <c r="V42" s="176" t="s">
        <v>231</v>
      </c>
      <c r="W42" s="176" t="str">
        <f>"+CCA"</f>
        <v>+CCA</v>
      </c>
      <c r="X42" s="176" t="s">
        <v>8</v>
      </c>
      <c r="Y42" s="176" t="s">
        <v>231</v>
      </c>
      <c r="Z42" s="176" t="str">
        <f>"+CCA"</f>
        <v>+CCA</v>
      </c>
      <c r="AA42" s="176" t="s">
        <v>8</v>
      </c>
      <c r="AB42" s="176" t="s">
        <v>231</v>
      </c>
      <c r="AC42" s="176" t="s">
        <v>172</v>
      </c>
      <c r="AD42" s="176" t="s">
        <v>175</v>
      </c>
      <c r="AE42" s="176" t="s">
        <v>196</v>
      </c>
      <c r="AF42" s="176" t="s">
        <v>196</v>
      </c>
      <c r="AG42" s="202"/>
      <c r="AH42" s="183" t="s">
        <v>198</v>
      </c>
      <c r="AI42" s="184">
        <f>NPV(Constants!$D$21,'Analysis (B)'!AF45:AF84)+'Analysis (B)'!AF44</f>
        <v>6178.6057646571253</v>
      </c>
    </row>
    <row r="43" spans="8:35" x14ac:dyDescent="0.3">
      <c r="H43" s="264"/>
      <c r="I43" s="259"/>
      <c r="J43" s="181" t="s">
        <v>62</v>
      </c>
      <c r="K43" s="181" t="s">
        <v>62</v>
      </c>
      <c r="L43" s="181" t="s">
        <v>59</v>
      </c>
      <c r="M43" s="181" t="s">
        <v>59</v>
      </c>
      <c r="N43" s="181" t="s">
        <v>59</v>
      </c>
      <c r="O43" s="181" t="s">
        <v>59</v>
      </c>
      <c r="P43" s="181" t="s">
        <v>59</v>
      </c>
      <c r="Q43" s="181" t="s">
        <v>59</v>
      </c>
      <c r="R43" s="181" t="s">
        <v>59</v>
      </c>
      <c r="S43" s="181" t="s">
        <v>59</v>
      </c>
      <c r="T43" s="181" t="s">
        <v>59</v>
      </c>
      <c r="U43" s="181" t="s">
        <v>59</v>
      </c>
      <c r="V43" s="181" t="s">
        <v>59</v>
      </c>
      <c r="W43" s="181" t="s">
        <v>59</v>
      </c>
      <c r="X43" s="181" t="s">
        <v>59</v>
      </c>
      <c r="Y43" s="181" t="s">
        <v>59</v>
      </c>
      <c r="Z43" s="181" t="s">
        <v>59</v>
      </c>
      <c r="AA43" s="181" t="s">
        <v>59</v>
      </c>
      <c r="AB43" s="181" t="s">
        <v>59</v>
      </c>
      <c r="AC43" s="181" t="s">
        <v>59</v>
      </c>
      <c r="AD43" s="181" t="s">
        <v>59</v>
      </c>
      <c r="AE43" s="181" t="s">
        <v>59</v>
      </c>
      <c r="AF43" s="182" t="s">
        <v>178</v>
      </c>
      <c r="AH43" s="172" t="s">
        <v>199</v>
      </c>
      <c r="AI43" s="191">
        <f>PMT(Constants!$D$21,5,-'Analysis (B)'!AI42)</f>
        <v>1349.1268135948349</v>
      </c>
    </row>
    <row r="44" spans="8:35" x14ac:dyDescent="0.3">
      <c r="H44" s="185">
        <v>0</v>
      </c>
      <c r="I44" s="186">
        <v>1</v>
      </c>
      <c r="J44" s="187">
        <v>0</v>
      </c>
      <c r="K44" s="187">
        <v>0</v>
      </c>
      <c r="L44" s="188">
        <v>0</v>
      </c>
      <c r="M44" s="189">
        <f>IF($C$20=0,Configurations!$C$34-Configurations!$C$35,0)</f>
        <v>0</v>
      </c>
      <c r="N44" s="189">
        <v>0</v>
      </c>
      <c r="O44" s="189">
        <v>0</v>
      </c>
      <c r="P44" s="189">
        <f>K44*'Grid Power'!$L$18</f>
        <v>0</v>
      </c>
      <c r="Q44" s="189">
        <v>0</v>
      </c>
      <c r="R44" s="188">
        <f>SUM(P44:Q44)-SUM(L44:O44)</f>
        <v>0</v>
      </c>
      <c r="S44" s="188">
        <f>R44+'Analysis (Nothing)'!D5</f>
        <v>0</v>
      </c>
      <c r="T44" s="188">
        <f>Configurations!$C$47/2</f>
        <v>5120.5</v>
      </c>
      <c r="U44" s="188">
        <f>0</f>
        <v>0</v>
      </c>
      <c r="V44" s="188">
        <f>U44+T44</f>
        <v>5120.5</v>
      </c>
      <c r="W44" s="188">
        <f>Configurations!$D$47/2</f>
        <v>837.9</v>
      </c>
      <c r="X44" s="188">
        <f>0</f>
        <v>0</v>
      </c>
      <c r="Y44" s="188">
        <f>X44+W44</f>
        <v>837.9</v>
      </c>
      <c r="Z44" s="188">
        <f>Configurations!$E$47/2</f>
        <v>1303.4000000000001</v>
      </c>
      <c r="AA44" s="189">
        <v>0</v>
      </c>
      <c r="AB44" s="188">
        <f>Z44-AA44</f>
        <v>1303.4000000000001</v>
      </c>
      <c r="AC44" s="189">
        <f>IF(S44&lt;0, 0,S44-AA44-X44-U44)</f>
        <v>0</v>
      </c>
      <c r="AD44" s="188">
        <f>AC44*Constants!$D$23</f>
        <v>0</v>
      </c>
      <c r="AE44" s="188">
        <f t="shared" ref="AE44:AE49" si="23">S44-AD44</f>
        <v>0</v>
      </c>
      <c r="AF44" s="190">
        <f>AE44*(1+Constants!$D$20)^-H44</f>
        <v>0</v>
      </c>
    </row>
    <row r="45" spans="8:35" x14ac:dyDescent="0.3">
      <c r="H45" s="178">
        <v>1</v>
      </c>
      <c r="I45" s="192">
        <f>I44*(1-Constants!$D$11)</f>
        <v>0.995</v>
      </c>
      <c r="J45" s="179">
        <f>$E$18*(2-I45)</f>
        <v>2498.0417736620489</v>
      </c>
      <c r="K45" s="179">
        <f>$F$18*I45</f>
        <v>3224.293411383916</v>
      </c>
      <c r="L45" s="193">
        <f>IF(J45*'Grid Power'!K18&lt;0,0,J45*'Grid Power'!K18)</f>
        <v>304.2630967709398</v>
      </c>
      <c r="M45" s="194">
        <f>IF($C$20=5,Configurations!$F$34,IF($C$20=15,Configurations!$F$35,0))</f>
        <v>1360.3531010425304</v>
      </c>
      <c r="N45" s="194">
        <v>50</v>
      </c>
      <c r="O45" s="194">
        <v>0</v>
      </c>
      <c r="P45" s="194">
        <f>K45*'Grid Power'!L18</f>
        <v>328.87727987818374</v>
      </c>
      <c r="Q45" s="194">
        <v>0</v>
      </c>
      <c r="R45" s="193">
        <f>SUM(P45:Q45)-SUM(L45:O45)</f>
        <v>-1385.7389179352863</v>
      </c>
      <c r="S45" s="193">
        <f>R45+'Analysis (Nothing)'!D6</f>
        <v>-374.78870070952621</v>
      </c>
      <c r="T45" s="193">
        <f>Configurations!$C$47/2</f>
        <v>5120.5</v>
      </c>
      <c r="U45" s="193">
        <f>V44*Configurations!$C$48</f>
        <v>1536.1499999999999</v>
      </c>
      <c r="V45" s="193">
        <f>V44+T45-U45</f>
        <v>8704.85</v>
      </c>
      <c r="W45" s="193">
        <f>Configurations!$D$47/2</f>
        <v>837.9</v>
      </c>
      <c r="X45" s="193">
        <f>Y44*Configurations!$D$48</f>
        <v>83.79</v>
      </c>
      <c r="Y45" s="193">
        <f>Y44+W45-X45</f>
        <v>1592.01</v>
      </c>
      <c r="Z45" s="193">
        <f>Configurations!$E$47/2</f>
        <v>1303.4000000000001</v>
      </c>
      <c r="AA45" s="193">
        <f>AB44*Configurations!$E$48</f>
        <v>260.68</v>
      </c>
      <c r="AB45" s="193">
        <f>AB44+Z45-AA45</f>
        <v>2346.1200000000003</v>
      </c>
      <c r="AC45" s="194">
        <f>IF(S45-AA45-X45-U45&lt;0, 0,S45-AA45-X45-U45)</f>
        <v>0</v>
      </c>
      <c r="AD45" s="193">
        <f>AC45*Constants!$D$23</f>
        <v>0</v>
      </c>
      <c r="AE45" s="193">
        <f t="shared" si="23"/>
        <v>-374.78870070952621</v>
      </c>
      <c r="AF45" s="195">
        <f>AE45*(1+Constants!$D$20)^-H45</f>
        <v>-367.4399026563982</v>
      </c>
    </row>
    <row r="46" spans="8:35" x14ac:dyDescent="0.3">
      <c r="H46" s="178">
        <v>2</v>
      </c>
      <c r="I46" s="192">
        <f>I45*(1-Constants!$D$11)</f>
        <v>0.99002500000000004</v>
      </c>
      <c r="J46" s="179">
        <f t="shared" ref="J46:J84" si="24">$E$18*(2-I46)</f>
        <v>2510.4077018451021</v>
      </c>
      <c r="K46" s="179">
        <f t="shared" ref="K46:K64" si="25">$F$18*I46</f>
        <v>3208.1719443269963</v>
      </c>
      <c r="L46" s="193">
        <f>IF(J46*'Grid Power'!K19&lt;0,0,J46*'Grid Power'!K19)</f>
        <v>319.64649907501081</v>
      </c>
      <c r="M46" s="194">
        <f>IF($C$20=5,Configurations!$F$34,IF($C$20=15,Configurations!$F$35,0))</f>
        <v>1360.3531010425304</v>
      </c>
      <c r="N46" s="194">
        <f>N45*(1+Constants!$D$20)</f>
        <v>51</v>
      </c>
      <c r="O46" s="194">
        <v>0</v>
      </c>
      <c r="P46" s="194">
        <f>K46*'Grid Power'!L19</f>
        <v>330.50522241358078</v>
      </c>
      <c r="Q46" s="194">
        <v>0</v>
      </c>
      <c r="R46" s="193">
        <f>SUM(P46:Q46)-SUM(L46:O46)</f>
        <v>-1400.4943777039603</v>
      </c>
      <c r="S46" s="193">
        <f>R46+'Analysis (Nothing)'!D7</f>
        <v>-343.66256260373143</v>
      </c>
      <c r="T46" s="193">
        <v>0</v>
      </c>
      <c r="U46" s="193">
        <f>V45*Configurations!$C$48</f>
        <v>2611.4549999999999</v>
      </c>
      <c r="V46" s="193">
        <f t="shared" ref="V46:V64" si="26">V45+T46-U46</f>
        <v>6093.3950000000004</v>
      </c>
      <c r="W46" s="193">
        <v>0</v>
      </c>
      <c r="X46" s="193">
        <f>Y45*Configurations!$D$48</f>
        <v>159.20100000000002</v>
      </c>
      <c r="Y46" s="193">
        <f t="shared" ref="Y46:Y64" si="27">Y45+W46-X46</f>
        <v>1432.809</v>
      </c>
      <c r="Z46" s="194">
        <v>0</v>
      </c>
      <c r="AA46" s="193">
        <f>AB45*Configurations!$E$48</f>
        <v>469.2240000000001</v>
      </c>
      <c r="AB46" s="193">
        <f t="shared" ref="AB46:AB64" si="28">AB45+Z46-AA46</f>
        <v>1876.8960000000002</v>
      </c>
      <c r="AC46" s="194">
        <f t="shared" ref="AC46:AC64" si="29">IF(S46-AA46-X46-U46&lt;0, 0,S46-AA46-X46-U46)</f>
        <v>0</v>
      </c>
      <c r="AD46" s="193">
        <f>AC46*Constants!$D$23</f>
        <v>0</v>
      </c>
      <c r="AE46" s="193">
        <f t="shared" si="23"/>
        <v>-343.66256260373143</v>
      </c>
      <c r="AF46" s="195">
        <f>AE46*(1+Constants!$D$20)^-H46</f>
        <v>-330.31772645495141</v>
      </c>
    </row>
    <row r="47" spans="8:35" x14ac:dyDescent="0.3">
      <c r="H47" s="178">
        <v>3</v>
      </c>
      <c r="I47" s="192">
        <f>I46*(1-Constants!$D$11)</f>
        <v>0.98507487500000002</v>
      </c>
      <c r="J47" s="179">
        <f t="shared" si="24"/>
        <v>2522.7118003872406</v>
      </c>
      <c r="K47" s="179">
        <f t="shared" si="25"/>
        <v>3192.1310846053611</v>
      </c>
      <c r="L47" s="193">
        <f>IF(J47*'Grid Power'!K20&lt;0,0,J47*'Grid Power'!K20)</f>
        <v>335.83164946776094</v>
      </c>
      <c r="M47" s="194">
        <f>IF($C$20=5,Configurations!$F$34,IF($C$20=15,Configurations!$F$35,0))</f>
        <v>1360.3531010425304</v>
      </c>
      <c r="N47" s="194">
        <f>N46*(1+Constants!$D$20)</f>
        <v>52.02</v>
      </c>
      <c r="O47" s="194">
        <v>0</v>
      </c>
      <c r="P47" s="194">
        <f>K47*'Grid Power'!L20</f>
        <v>332.14122326452798</v>
      </c>
      <c r="Q47" s="194">
        <v>0</v>
      </c>
      <c r="R47" s="193">
        <f>SUM(P47:Q47)-SUM(L47:O47)</f>
        <v>-1416.0635272457635</v>
      </c>
      <c r="S47" s="193">
        <f>R47+'Analysis (Nothing)'!D8</f>
        <v>-311.13504376995729</v>
      </c>
      <c r="T47" s="193">
        <v>0</v>
      </c>
      <c r="U47" s="193">
        <f>V46*Configurations!$C$48</f>
        <v>1828.0185000000001</v>
      </c>
      <c r="V47" s="193">
        <f t="shared" si="26"/>
        <v>4265.3765000000003</v>
      </c>
      <c r="W47" s="193">
        <v>0</v>
      </c>
      <c r="X47" s="193">
        <f>Y46*Configurations!$D$48</f>
        <v>143.2809</v>
      </c>
      <c r="Y47" s="193">
        <f t="shared" si="27"/>
        <v>1289.5281</v>
      </c>
      <c r="Z47" s="194">
        <v>0</v>
      </c>
      <c r="AA47" s="193">
        <f>AB46*Configurations!$E$48</f>
        <v>375.37920000000008</v>
      </c>
      <c r="AB47" s="193">
        <f t="shared" si="28"/>
        <v>1501.5168000000001</v>
      </c>
      <c r="AC47" s="194">
        <f t="shared" si="29"/>
        <v>0</v>
      </c>
      <c r="AD47" s="193">
        <f>AC47*Constants!$D$23</f>
        <v>0</v>
      </c>
      <c r="AE47" s="193">
        <f t="shared" si="23"/>
        <v>-311.13504376995729</v>
      </c>
      <c r="AF47" s="195">
        <f>AE47*(1+Constants!$D$20)^-H47</f>
        <v>-293.18950080470307</v>
      </c>
    </row>
    <row r="48" spans="8:35" x14ac:dyDescent="0.3">
      <c r="H48" s="178">
        <v>4</v>
      </c>
      <c r="I48" s="192">
        <f>I47*(1-Constants!$D$11)</f>
        <v>0.98014950062500006</v>
      </c>
      <c r="J48" s="179">
        <f t="shared" si="24"/>
        <v>2534.9543784366679</v>
      </c>
      <c r="K48" s="179">
        <f t="shared" si="25"/>
        <v>3176.1704291823348</v>
      </c>
      <c r="L48" s="193">
        <f>IF(J48*'Grid Power'!K21&lt;0,0,J48*'Grid Power'!K21)</f>
        <v>352.86103018652238</v>
      </c>
      <c r="M48" s="194">
        <f>IF($C$20=5,Configurations!$F$34,IF($C$20=15,Configurations!$F$35,0))</f>
        <v>1360.3531010425304</v>
      </c>
      <c r="N48" s="194">
        <f>N47*(1+Constants!$D$20)</f>
        <v>53.060400000000001</v>
      </c>
      <c r="O48" s="194">
        <v>0</v>
      </c>
      <c r="P48" s="194">
        <f>K48*'Grid Power'!L21</f>
        <v>333.78532231968745</v>
      </c>
      <c r="Q48" s="194">
        <v>0</v>
      </c>
      <c r="R48" s="193">
        <f>SUM(P48:Q48)-SUM(L48:O48)</f>
        <v>-1432.4892089093655</v>
      </c>
      <c r="S48" s="193">
        <f>R48+'Analysis (Nothing)'!D9</f>
        <v>-277.13876556310697</v>
      </c>
      <c r="T48" s="193">
        <v>0</v>
      </c>
      <c r="U48" s="193">
        <f>V47*Configurations!$C$48</f>
        <v>1279.61295</v>
      </c>
      <c r="V48" s="193">
        <f t="shared" si="26"/>
        <v>2985.7635500000006</v>
      </c>
      <c r="W48" s="193">
        <v>0</v>
      </c>
      <c r="X48" s="193">
        <f>Y47*Configurations!$D$48</f>
        <v>128.95281</v>
      </c>
      <c r="Y48" s="193">
        <f t="shared" si="27"/>
        <v>1160.57529</v>
      </c>
      <c r="Z48" s="194">
        <v>0</v>
      </c>
      <c r="AA48" s="193">
        <f>AB47*Configurations!$E$48</f>
        <v>300.30336000000005</v>
      </c>
      <c r="AB48" s="193">
        <f t="shared" si="28"/>
        <v>1201.21344</v>
      </c>
      <c r="AC48" s="194">
        <f t="shared" si="29"/>
        <v>0</v>
      </c>
      <c r="AD48" s="193">
        <f>AC48*Constants!$D$23</f>
        <v>0</v>
      </c>
      <c r="AE48" s="193">
        <f t="shared" si="23"/>
        <v>-277.13876556310697</v>
      </c>
      <c r="AF48" s="195">
        <f>AE48*(1+Constants!$D$20)^-H48</f>
        <v>-256.03338094011082</v>
      </c>
    </row>
    <row r="49" spans="8:32" x14ac:dyDescent="0.3">
      <c r="H49" s="178">
        <v>5</v>
      </c>
      <c r="I49" s="192">
        <f>I48*(1-Constants!$D$11)</f>
        <v>0.97524875312187509</v>
      </c>
      <c r="J49" s="179">
        <f t="shared" si="24"/>
        <v>2547.135743595848</v>
      </c>
      <c r="K49" s="179">
        <f t="shared" si="25"/>
        <v>3160.289577036423</v>
      </c>
      <c r="L49" s="193">
        <f>IF(J49*'Grid Power'!K22&lt;0,0,J49*'Grid Power'!K22)</f>
        <v>370.77938563677935</v>
      </c>
      <c r="M49" s="194">
        <f>IF($C$20=5,Configurations!$F$34,IF($C$20=15,Configurations!$F$35,0))</f>
        <v>1360.3531010425304</v>
      </c>
      <c r="N49" s="194">
        <f>N48*(1+Constants!$D$20)</f>
        <v>54.121608000000002</v>
      </c>
      <c r="O49" s="194">
        <v>0</v>
      </c>
      <c r="P49" s="194">
        <f>K49*'Grid Power'!L22</f>
        <v>335.43755966516989</v>
      </c>
      <c r="Q49" s="194">
        <v>0</v>
      </c>
      <c r="R49" s="193">
        <f>SUM(P49:Q49)-SUM(L49:O49)</f>
        <v>-1449.8165350141398</v>
      </c>
      <c r="S49" s="193">
        <f>R49+'Analysis (Nothing)'!D10</f>
        <v>-241.60305848534585</v>
      </c>
      <c r="T49" s="193">
        <v>0</v>
      </c>
      <c r="U49" s="193">
        <f>V48*Configurations!$C$48</f>
        <v>895.72906500000011</v>
      </c>
      <c r="V49" s="193">
        <f t="shared" si="26"/>
        <v>2090.0344850000006</v>
      </c>
      <c r="W49" s="193">
        <v>0</v>
      </c>
      <c r="X49" s="193">
        <f>Y48*Configurations!$D$48</f>
        <v>116.057529</v>
      </c>
      <c r="Y49" s="193">
        <f t="shared" si="27"/>
        <v>1044.5177610000001</v>
      </c>
      <c r="Z49" s="194">
        <v>0</v>
      </c>
      <c r="AA49" s="193">
        <f>AB48*Configurations!$E$48</f>
        <v>240.24268800000002</v>
      </c>
      <c r="AB49" s="193">
        <f t="shared" si="28"/>
        <v>960.97075199999995</v>
      </c>
      <c r="AC49" s="194">
        <f t="shared" si="29"/>
        <v>0</v>
      </c>
      <c r="AD49" s="193">
        <f>AC49*Constants!$D$23</f>
        <v>0</v>
      </c>
      <c r="AE49" s="193">
        <f t="shared" si="23"/>
        <v>-241.60305848534585</v>
      </c>
      <c r="AF49" s="195">
        <f>AE49*(1+Constants!$D$20)^-H49</f>
        <v>-218.82733381931683</v>
      </c>
    </row>
    <row r="50" spans="8:32" hidden="1" x14ac:dyDescent="0.3">
      <c r="H50" s="178">
        <v>6</v>
      </c>
      <c r="I50" s="192">
        <f>I49*(1-Constants!$D$11)</f>
        <v>0.97037250935626573</v>
      </c>
      <c r="J50" s="179">
        <f t="shared" si="24"/>
        <v>2559.2562019292322</v>
      </c>
      <c r="K50" s="179">
        <f t="shared" si="25"/>
        <v>3144.4881291512411</v>
      </c>
      <c r="L50" s="193">
        <f>IF(J50*'Grid Power'!K23&lt;0,0,J50*'Grid Power'!K23)</f>
        <v>389.63384271783184</v>
      </c>
      <c r="M50" s="194">
        <f>IF($C$20=15,Configurations!$F$35,0)</f>
        <v>1360.3531010425304</v>
      </c>
      <c r="N50" s="194">
        <f>N49*(1+Constants!$D$20)</f>
        <v>55.204040160000005</v>
      </c>
      <c r="O50" s="194">
        <v>0</v>
      </c>
      <c r="P50" s="194">
        <f>K50*'Grid Power'!L23</f>
        <v>337.09797558551253</v>
      </c>
      <c r="Q50" s="194">
        <v>0</v>
      </c>
      <c r="R50" s="193">
        <f>SUM(P50:Q50)-SUM(L50:O50)</f>
        <v>-1468.0930083348496</v>
      </c>
      <c r="S50" s="193">
        <f>R50+'Analysis (Nothing)'!D11</f>
        <v>-204.45380039862971</v>
      </c>
      <c r="T50" s="193">
        <v>0</v>
      </c>
      <c r="U50" s="193">
        <f>V49*Configurations!$C$48</f>
        <v>627.0103455000002</v>
      </c>
      <c r="V50" s="193">
        <f t="shared" si="26"/>
        <v>1463.0241395000003</v>
      </c>
      <c r="W50" s="193">
        <v>0</v>
      </c>
      <c r="X50" s="193">
        <f>Y49*Configurations!$D$48</f>
        <v>104.45177610000002</v>
      </c>
      <c r="Y50" s="193">
        <f t="shared" si="27"/>
        <v>940.0659849000001</v>
      </c>
      <c r="Z50" s="194">
        <v>0</v>
      </c>
      <c r="AA50" s="193">
        <f>AB49*Configurations!$E$48</f>
        <v>192.19415040000001</v>
      </c>
      <c r="AB50" s="193">
        <f t="shared" si="28"/>
        <v>768.77660159999994</v>
      </c>
      <c r="AC50" s="194">
        <f t="shared" si="29"/>
        <v>0</v>
      </c>
      <c r="AD50" s="193">
        <f>AC50*Constants!$D$23</f>
        <v>0</v>
      </c>
      <c r="AE50" s="193">
        <f t="shared" ref="AE50:AE62" si="30">S50-AD50</f>
        <v>-204.45380039862971</v>
      </c>
      <c r="AF50" s="195">
        <f>AE50*(1+Constants!$D$20)^-H50</f>
        <v>-181.54912373319104</v>
      </c>
    </row>
    <row r="51" spans="8:32" hidden="1" x14ac:dyDescent="0.3">
      <c r="H51" s="178">
        <v>7</v>
      </c>
      <c r="I51" s="192">
        <f>I50*(1-Constants!$D$11)</f>
        <v>0.96552064680948435</v>
      </c>
      <c r="J51" s="179">
        <f t="shared" si="24"/>
        <v>2571.3160579709502</v>
      </c>
      <c r="K51" s="179">
        <f t="shared" si="25"/>
        <v>3128.7656885054848</v>
      </c>
      <c r="L51" s="193">
        <f>IF(J51*'Grid Power'!K24&lt;0,0,J51*'Grid Power'!K24)</f>
        <v>409.47403752598058</v>
      </c>
      <c r="M51" s="194">
        <f>IF($C$20=15,Configurations!$F$35,0)</f>
        <v>1360.3531010425304</v>
      </c>
      <c r="N51" s="194">
        <f>N50*(1+Constants!$D$20)</f>
        <v>56.308120963200004</v>
      </c>
      <c r="O51" s="194">
        <v>0</v>
      </c>
      <c r="P51" s="194">
        <f>K51*'Grid Power'!L24</f>
        <v>338.76661056466077</v>
      </c>
      <c r="Q51" s="194">
        <v>0</v>
      </c>
      <c r="R51" s="193">
        <f>SUM(P51:Q51)-SUM(L51:O51)</f>
        <v>-1487.3686489670501</v>
      </c>
      <c r="S51" s="193">
        <f>R51+'Analysis (Nothing)'!D12</f>
        <v>-165.61324675132732</v>
      </c>
      <c r="T51" s="193">
        <v>0</v>
      </c>
      <c r="U51" s="193">
        <f>V50*Configurations!$C$48</f>
        <v>438.90724185000005</v>
      </c>
      <c r="V51" s="193">
        <f t="shared" si="26"/>
        <v>1024.1168976500003</v>
      </c>
      <c r="W51" s="193">
        <v>0</v>
      </c>
      <c r="X51" s="193">
        <f>Y50*Configurations!$D$48</f>
        <v>94.006598490000016</v>
      </c>
      <c r="Y51" s="193">
        <f t="shared" si="27"/>
        <v>846.05938641000012</v>
      </c>
      <c r="Z51" s="194">
        <v>0</v>
      </c>
      <c r="AA51" s="193">
        <f>AB50*Configurations!$E$48</f>
        <v>153.75532032000001</v>
      </c>
      <c r="AB51" s="193">
        <f t="shared" si="28"/>
        <v>615.02128127999993</v>
      </c>
      <c r="AC51" s="194">
        <f t="shared" si="29"/>
        <v>0</v>
      </c>
      <c r="AD51" s="193">
        <f>AC51*Constants!$D$23</f>
        <v>0</v>
      </c>
      <c r="AE51" s="193">
        <f t="shared" si="30"/>
        <v>-165.61324675132732</v>
      </c>
      <c r="AF51" s="195">
        <f>AE51*(1+Constants!$D$20)^-H51</f>
        <v>-144.1762976726657</v>
      </c>
    </row>
    <row r="52" spans="8:32" hidden="1" x14ac:dyDescent="0.3">
      <c r="H52" s="178">
        <v>8</v>
      </c>
      <c r="I52" s="192">
        <f>I51*(1-Constants!$D$11)</f>
        <v>0.96069304357543694</v>
      </c>
      <c r="J52" s="179">
        <f t="shared" si="24"/>
        <v>2583.3156147324589</v>
      </c>
      <c r="K52" s="179">
        <f t="shared" si="25"/>
        <v>3113.1218600629572</v>
      </c>
      <c r="L52" s="193">
        <f>IF(J52*'Grid Power'!K25&lt;0,0,J52*'Grid Power'!K25)</f>
        <v>430.35224877184157</v>
      </c>
      <c r="M52" s="194">
        <f>IF($C$20=15,Configurations!$F$35,0)</f>
        <v>1360.3531010425304</v>
      </c>
      <c r="N52" s="194">
        <f>N51*(1+Constants!$D$20)</f>
        <v>57.434283382464002</v>
      </c>
      <c r="O52" s="194">
        <v>0</v>
      </c>
      <c r="P52" s="194">
        <f>K52*'Grid Power'!L25</f>
        <v>340.44350528695583</v>
      </c>
      <c r="Q52" s="194">
        <v>0</v>
      </c>
      <c r="R52" s="193">
        <f>SUM(P52:Q52)-SUM(L52:O52)</f>
        <v>-1507.69612790988</v>
      </c>
      <c r="S52" s="193">
        <f>R52+'Analysis (Nothing)'!D13</f>
        <v>-124.99985242355524</v>
      </c>
      <c r="T52" s="193">
        <v>0</v>
      </c>
      <c r="U52" s="193">
        <f>V51*Configurations!$C$48</f>
        <v>307.23506929500007</v>
      </c>
      <c r="V52" s="193">
        <f t="shared" si="26"/>
        <v>716.88182835500015</v>
      </c>
      <c r="W52" s="193">
        <v>0</v>
      </c>
      <c r="X52" s="193">
        <f>Y51*Configurations!$D$48</f>
        <v>84.605938641000023</v>
      </c>
      <c r="Y52" s="193">
        <f t="shared" si="27"/>
        <v>761.45344776900015</v>
      </c>
      <c r="Z52" s="194">
        <v>0</v>
      </c>
      <c r="AA52" s="193">
        <f>AB51*Configurations!$E$48</f>
        <v>123.00425625599999</v>
      </c>
      <c r="AB52" s="193">
        <f t="shared" si="28"/>
        <v>492.01702502399996</v>
      </c>
      <c r="AC52" s="194">
        <f t="shared" si="29"/>
        <v>0</v>
      </c>
      <c r="AD52" s="193">
        <f>AC52*Constants!$D$23</f>
        <v>0</v>
      </c>
      <c r="AE52" s="193">
        <f t="shared" si="30"/>
        <v>-124.99985242355524</v>
      </c>
      <c r="AF52" s="195">
        <f>AE52*(1+Constants!$D$20)^-H52</f>
        <v>-106.68617044368933</v>
      </c>
    </row>
    <row r="53" spans="8:32" hidden="1" x14ac:dyDescent="0.3">
      <c r="H53" s="178">
        <v>9</v>
      </c>
      <c r="I53" s="192">
        <f>I52*(1-Constants!$D$11)</f>
        <v>0.95588957835755972</v>
      </c>
      <c r="J53" s="179">
        <f t="shared" si="24"/>
        <v>2595.2551737101608</v>
      </c>
      <c r="K53" s="179">
        <f t="shared" si="25"/>
        <v>3097.5562507626423</v>
      </c>
      <c r="L53" s="193">
        <f>IF(J53*'Grid Power'!K26&lt;0,0,J53*'Grid Power'!K26)</f>
        <v>452.32353826610046</v>
      </c>
      <c r="M53" s="194">
        <f>IF($C$20=15,Configurations!$F$35,0)</f>
        <v>1360.3531010425304</v>
      </c>
      <c r="N53" s="194">
        <f>N52*(1+Constants!$D$20)</f>
        <v>58.582969050113284</v>
      </c>
      <c r="O53" s="194">
        <v>0</v>
      </c>
      <c r="P53" s="194">
        <f>K53*'Grid Power'!L26</f>
        <v>342.12870063812625</v>
      </c>
      <c r="Q53" s="194">
        <v>0</v>
      </c>
      <c r="R53" s="193">
        <f>SUM(P53:Q53)-SUM(L53:O53)</f>
        <v>-1529.1309077206179</v>
      </c>
      <c r="S53" s="193">
        <f>R53+'Analysis (Nothing)'!D14</f>
        <v>-82.52808477622284</v>
      </c>
      <c r="T53" s="193">
        <v>0</v>
      </c>
      <c r="U53" s="193">
        <f>V52*Configurations!$C$48</f>
        <v>215.06454850650005</v>
      </c>
      <c r="V53" s="193">
        <f t="shared" si="26"/>
        <v>501.81727984850011</v>
      </c>
      <c r="W53" s="193">
        <v>0</v>
      </c>
      <c r="X53" s="193">
        <f>Y52*Configurations!$D$48</f>
        <v>76.145344776900018</v>
      </c>
      <c r="Y53" s="193">
        <f t="shared" si="27"/>
        <v>685.30810299210009</v>
      </c>
      <c r="Z53" s="194">
        <v>0</v>
      </c>
      <c r="AA53" s="193">
        <f>AB52*Configurations!$E$48</f>
        <v>98.403405004799993</v>
      </c>
      <c r="AB53" s="193">
        <f t="shared" si="28"/>
        <v>393.61362001919997</v>
      </c>
      <c r="AC53" s="194">
        <f t="shared" si="29"/>
        <v>0</v>
      </c>
      <c r="AD53" s="193">
        <f>AC53*Constants!$D$23</f>
        <v>0</v>
      </c>
      <c r="AE53" s="193">
        <f t="shared" si="30"/>
        <v>-82.52808477622284</v>
      </c>
      <c r="AF53" s="195">
        <f>AE53*(1+Constants!$D$20)^-H53</f>
        <v>-69.055809518889646</v>
      </c>
    </row>
    <row r="54" spans="8:32" hidden="1" x14ac:dyDescent="0.3">
      <c r="H54" s="178">
        <v>10</v>
      </c>
      <c r="I54" s="192">
        <f>I53*(1-Constants!$D$11)</f>
        <v>0.95111013046577186</v>
      </c>
      <c r="J54" s="179">
        <f t="shared" si="24"/>
        <v>2607.1350348929736</v>
      </c>
      <c r="K54" s="179">
        <f t="shared" si="25"/>
        <v>3082.0684695088289</v>
      </c>
      <c r="L54" s="193">
        <f>IF(J54*'Grid Power'!K27&lt;0,0,J54*'Grid Power'!K27)</f>
        <v>475.44589884662719</v>
      </c>
      <c r="M54" s="194">
        <f>IF($C$20=15,Configurations!$F$35,0)</f>
        <v>1360.3531010425304</v>
      </c>
      <c r="N54" s="194">
        <f>N53*(1+Constants!$D$20)</f>
        <v>59.754628431115549</v>
      </c>
      <c r="O54" s="194">
        <f>Configurations!$D$39+Configurations!$D$41</f>
        <v>6330.8</v>
      </c>
      <c r="P54" s="194">
        <f>K54*'Grid Power'!L27</f>
        <v>343.82223770628497</v>
      </c>
      <c r="Q54" s="194">
        <v>0</v>
      </c>
      <c r="R54" s="193">
        <f>SUM(P54:Q54)-SUM(L54:O54)</f>
        <v>-7882.5313906139891</v>
      </c>
      <c r="S54" s="193">
        <f>R54+'Analysis (Nothing)'!D15</f>
        <v>-6368.9082274681805</v>
      </c>
      <c r="T54" s="193">
        <f>Configurations!$D$39/2</f>
        <v>1862</v>
      </c>
      <c r="U54" s="193">
        <f>V53*Configurations!$C$48</f>
        <v>150.54518395455003</v>
      </c>
      <c r="V54" s="193">
        <f t="shared" si="26"/>
        <v>2213.2720958939503</v>
      </c>
      <c r="W54" s="193">
        <v>0</v>
      </c>
      <c r="X54" s="193">
        <f>Y53*Configurations!$D$48</f>
        <v>68.530810299210017</v>
      </c>
      <c r="Y54" s="193">
        <f t="shared" si="27"/>
        <v>616.77729269289011</v>
      </c>
      <c r="Z54" s="194">
        <f>Configurations!$D$41/2</f>
        <v>1303.4000000000001</v>
      </c>
      <c r="AA54" s="193">
        <f>AB53*Configurations!$E$48</f>
        <v>78.72272400384</v>
      </c>
      <c r="AB54" s="193">
        <f t="shared" si="28"/>
        <v>1618.29089601536</v>
      </c>
      <c r="AC54" s="194">
        <f t="shared" si="29"/>
        <v>0</v>
      </c>
      <c r="AD54" s="193">
        <f>AC54*Constants!$D$23</f>
        <v>0</v>
      </c>
      <c r="AE54" s="193">
        <f t="shared" si="30"/>
        <v>-6368.9082274681805</v>
      </c>
      <c r="AF54" s="195">
        <f>AE54*(1+Constants!$D$20)^-H54</f>
        <v>-5224.7230364644111</v>
      </c>
    </row>
    <row r="55" spans="8:32" hidden="1" x14ac:dyDescent="0.3">
      <c r="H55" s="178">
        <v>11</v>
      </c>
      <c r="I55" s="192">
        <f>I54*(1-Constants!$D$11)</f>
        <v>0.94635457981344295</v>
      </c>
      <c r="J55" s="179">
        <f t="shared" si="24"/>
        <v>2618.9554967698723</v>
      </c>
      <c r="K55" s="179">
        <f t="shared" si="25"/>
        <v>3066.6581271612845</v>
      </c>
      <c r="L55" s="193">
        <f>IF(J55*'Grid Power'!K28&lt;0,0,J55*'Grid Power'!K28)</f>
        <v>499.78041013948183</v>
      </c>
      <c r="M55" s="194">
        <f>IF($C$20=15,Configurations!$F$35,0)</f>
        <v>1360.3531010425304</v>
      </c>
      <c r="N55" s="194">
        <f>N54*(1+Constants!$D$20)</f>
        <v>60.949720999737863</v>
      </c>
      <c r="O55" s="194">
        <v>0</v>
      </c>
      <c r="P55" s="194">
        <f>K55*'Grid Power'!L28</f>
        <v>345.52415778293107</v>
      </c>
      <c r="Q55" s="194">
        <v>0</v>
      </c>
      <c r="R55" s="193">
        <f>SUM(P55:Q55)-SUM(L55:O55)</f>
        <v>-1575.5590743988189</v>
      </c>
      <c r="S55" s="193">
        <f>R55+'Analysis (Nothing)'!D16</f>
        <v>8.3538254157622305</v>
      </c>
      <c r="T55" s="193">
        <f>Configurations!$D$39/2</f>
        <v>1862</v>
      </c>
      <c r="U55" s="193">
        <f>V54*Configurations!$C$48</f>
        <v>663.98162876818503</v>
      </c>
      <c r="V55" s="193">
        <f t="shared" si="26"/>
        <v>3411.2904671257652</v>
      </c>
      <c r="W55" s="193">
        <v>0</v>
      </c>
      <c r="X55" s="193">
        <f>Y54*Configurations!$D$48</f>
        <v>61.677729269289017</v>
      </c>
      <c r="Y55" s="193">
        <f t="shared" si="27"/>
        <v>555.09956342360113</v>
      </c>
      <c r="Z55" s="194">
        <f>Configurations!$D$41/2</f>
        <v>1303.4000000000001</v>
      </c>
      <c r="AA55" s="193">
        <f>AB54*Configurations!$E$48</f>
        <v>323.658179203072</v>
      </c>
      <c r="AB55" s="193">
        <f t="shared" si="28"/>
        <v>2598.0327168122881</v>
      </c>
      <c r="AC55" s="194">
        <f t="shared" si="29"/>
        <v>0</v>
      </c>
      <c r="AD55" s="193">
        <f>AC55*Constants!$D$23</f>
        <v>0</v>
      </c>
      <c r="AE55" s="193">
        <f t="shared" si="30"/>
        <v>8.3538254157622305</v>
      </c>
      <c r="AF55" s="195">
        <f>AE55*(1+Constants!$D$20)^-H55</f>
        <v>6.7186730169356954</v>
      </c>
    </row>
    <row r="56" spans="8:32" hidden="1" x14ac:dyDescent="0.3">
      <c r="H56" s="178">
        <v>12</v>
      </c>
      <c r="I56" s="192">
        <f>I55*(1-Constants!$D$11)</f>
        <v>0.94162280691437572</v>
      </c>
      <c r="J56" s="179">
        <f t="shared" si="24"/>
        <v>2630.7168563373866</v>
      </c>
      <c r="K56" s="179">
        <f t="shared" si="25"/>
        <v>3051.3248365254781</v>
      </c>
      <c r="L56" s="193">
        <f>IF(J56*'Grid Power'!K29&lt;0,0,J56*'Grid Power'!K29)</f>
        <v>525.391402566951</v>
      </c>
      <c r="M56" s="194">
        <f>IF($C$20=15,Configurations!$F$35,0)</f>
        <v>1360.3531010425304</v>
      </c>
      <c r="N56" s="194">
        <f>N55*(1+Constants!$D$20)</f>
        <v>62.168715419732621</v>
      </c>
      <c r="O56" s="194">
        <v>0</v>
      </c>
      <c r="P56" s="194">
        <f>K56*'Grid Power'!L29</f>
        <v>347.23450236395655</v>
      </c>
      <c r="Q56" s="194">
        <v>0</v>
      </c>
      <c r="R56" s="193">
        <f>SUM(P56:Q56)-SUM(L56:O56)</f>
        <v>-1600.6787166652573</v>
      </c>
      <c r="S56" s="193">
        <f>R56+'Analysis (Nothing)'!D17</f>
        <v>56.956785405868004</v>
      </c>
      <c r="T56" s="193">
        <v>0</v>
      </c>
      <c r="U56" s="193">
        <f>V55*Configurations!$C$48</f>
        <v>1023.3871401377295</v>
      </c>
      <c r="V56" s="193">
        <f t="shared" si="26"/>
        <v>2387.9033269880356</v>
      </c>
      <c r="W56" s="193">
        <v>0</v>
      </c>
      <c r="X56" s="193">
        <f>Y55*Configurations!$D$48</f>
        <v>55.509956342360113</v>
      </c>
      <c r="Y56" s="193">
        <f t="shared" si="27"/>
        <v>499.58960708124101</v>
      </c>
      <c r="Z56" s="194">
        <v>0</v>
      </c>
      <c r="AA56" s="193">
        <f>AB55*Configurations!$E$48</f>
        <v>519.60654336245761</v>
      </c>
      <c r="AB56" s="193">
        <f t="shared" si="28"/>
        <v>2078.4261734498305</v>
      </c>
      <c r="AC56" s="194">
        <f t="shared" si="29"/>
        <v>0</v>
      </c>
      <c r="AD56" s="193">
        <f>AC56*Constants!$D$23</f>
        <v>0</v>
      </c>
      <c r="AE56" s="193">
        <f t="shared" si="30"/>
        <v>56.956785405868004</v>
      </c>
      <c r="AF56" s="195">
        <f>AE56*(1+Constants!$D$20)^-H56</f>
        <v>44.910036595595805</v>
      </c>
    </row>
    <row r="57" spans="8:32" hidden="1" x14ac:dyDescent="0.3">
      <c r="H57" s="178">
        <v>13</v>
      </c>
      <c r="I57" s="192">
        <f>I56*(1-Constants!$D$11)</f>
        <v>0.93691469287980389</v>
      </c>
      <c r="J57" s="179">
        <f t="shared" si="24"/>
        <v>2642.4194091070631</v>
      </c>
      <c r="K57" s="179">
        <f t="shared" si="25"/>
        <v>3036.068212342851</v>
      </c>
      <c r="L57" s="193">
        <f>IF(J57*'Grid Power'!K30&lt;0,0,J57*'Grid Power'!K30)</f>
        <v>552.34663003746516</v>
      </c>
      <c r="M57" s="194">
        <f>IF($C$20=15,Configurations!$F$35,0)</f>
        <v>1360.3531010425304</v>
      </c>
      <c r="N57" s="194">
        <f>N56*(1+Constants!$D$20)</f>
        <v>63.412089728127278</v>
      </c>
      <c r="O57" s="194">
        <v>0</v>
      </c>
      <c r="P57" s="194">
        <f>K57*'Grid Power'!L30</f>
        <v>348.95331315065818</v>
      </c>
      <c r="Q57" s="194">
        <v>0</v>
      </c>
      <c r="R57" s="193">
        <f>SUM(P57:Q57)-SUM(L57:O57)</f>
        <v>-1627.1585076574647</v>
      </c>
      <c r="S57" s="193">
        <f>R57+'Analysis (Nothing)'!D18</f>
        <v>107.80419636134025</v>
      </c>
      <c r="T57" s="193">
        <v>0</v>
      </c>
      <c r="U57" s="193">
        <f>V56*Configurations!$C$48</f>
        <v>716.37099809641063</v>
      </c>
      <c r="V57" s="193">
        <f t="shared" si="26"/>
        <v>1671.532328891625</v>
      </c>
      <c r="W57" s="193">
        <v>0</v>
      </c>
      <c r="X57" s="193">
        <f>Y56*Configurations!$D$48</f>
        <v>49.958960708124103</v>
      </c>
      <c r="Y57" s="193">
        <f t="shared" si="27"/>
        <v>449.63064637311692</v>
      </c>
      <c r="Z57" s="194">
        <v>0</v>
      </c>
      <c r="AA57" s="193">
        <f>AB56*Configurations!$E$48</f>
        <v>415.68523468996614</v>
      </c>
      <c r="AB57" s="193">
        <f t="shared" si="28"/>
        <v>1662.7409387598643</v>
      </c>
      <c r="AC57" s="194">
        <f t="shared" si="29"/>
        <v>0</v>
      </c>
      <c r="AD57" s="193">
        <f>AC57*Constants!$D$23</f>
        <v>0</v>
      </c>
      <c r="AE57" s="193">
        <f t="shared" si="30"/>
        <v>107.80419636134025</v>
      </c>
      <c r="AF57" s="195">
        <f>AE57*(1+Constants!$D$20)^-H57</f>
        <v>83.336150127432973</v>
      </c>
    </row>
    <row r="58" spans="8:32" hidden="1" x14ac:dyDescent="0.3">
      <c r="H58" s="178">
        <v>14</v>
      </c>
      <c r="I58" s="192">
        <f>I57*(1-Constants!$D$11)</f>
        <v>0.9322301194154049</v>
      </c>
      <c r="J58" s="179">
        <f t="shared" si="24"/>
        <v>2654.0634491128922</v>
      </c>
      <c r="K58" s="179">
        <f t="shared" si="25"/>
        <v>3020.8878712811365</v>
      </c>
      <c r="L58" s="193">
        <f>IF(J58*'Grid Power'!K31&lt;0,0,J58*'Grid Power'!K31)</f>
        <v>580.71745177508433</v>
      </c>
      <c r="M58" s="194">
        <f>IF($C$20=15,Configurations!$F$35,0)</f>
        <v>1360.3531010425304</v>
      </c>
      <c r="N58" s="194">
        <f>N57*(1+Constants!$D$20)</f>
        <v>64.680331522689826</v>
      </c>
      <c r="O58" s="194">
        <v>0</v>
      </c>
      <c r="P58" s="194">
        <f>K58*'Grid Power'!L31</f>
        <v>350.68063205075396</v>
      </c>
      <c r="Q58" s="194">
        <v>0</v>
      </c>
      <c r="R58" s="193">
        <f>SUM(P58:Q58)-SUM(L58:O58)</f>
        <v>-1655.0702522895506</v>
      </c>
      <c r="S58" s="193">
        <f>R58+'Analysis (Nothing)'!D19</f>
        <v>161.00467238579063</v>
      </c>
      <c r="T58" s="193">
        <v>0</v>
      </c>
      <c r="U58" s="193">
        <f>V57*Configurations!$C$48</f>
        <v>501.45969866748749</v>
      </c>
      <c r="V58" s="193">
        <f t="shared" si="26"/>
        <v>1170.0726302241374</v>
      </c>
      <c r="W58" s="193">
        <v>0</v>
      </c>
      <c r="X58" s="193">
        <f>Y57*Configurations!$D$48</f>
        <v>44.963064637311696</v>
      </c>
      <c r="Y58" s="193">
        <f t="shared" si="27"/>
        <v>404.66758173580524</v>
      </c>
      <c r="Z58" s="194">
        <v>0</v>
      </c>
      <c r="AA58" s="193">
        <f>AB57*Configurations!$E$48</f>
        <v>332.54818775197288</v>
      </c>
      <c r="AB58" s="193">
        <f t="shared" si="28"/>
        <v>1330.1927510078915</v>
      </c>
      <c r="AC58" s="194">
        <f t="shared" si="29"/>
        <v>0</v>
      </c>
      <c r="AD58" s="193">
        <f>AC58*Constants!$D$23</f>
        <v>0</v>
      </c>
      <c r="AE58" s="193">
        <f t="shared" si="30"/>
        <v>161.00467238579063</v>
      </c>
      <c r="AF58" s="195">
        <f>AE58*(1+Constants!$D$20)^-H58</f>
        <v>122.02142004321057</v>
      </c>
    </row>
    <row r="59" spans="8:32" hidden="1" x14ac:dyDescent="0.3">
      <c r="H59" s="178">
        <v>15</v>
      </c>
      <c r="I59" s="192">
        <f>I58*(1-Constants!$D$11)</f>
        <v>0.92756896881832784</v>
      </c>
      <c r="J59" s="179">
        <f t="shared" si="24"/>
        <v>2665.6492689186912</v>
      </c>
      <c r="K59" s="179">
        <f t="shared" si="25"/>
        <v>3005.7834319247308</v>
      </c>
      <c r="L59" s="193">
        <f>IF(J59*'Grid Power'!K32&lt;0,0,J59*'Grid Power'!K32)</f>
        <v>610.57902377026585</v>
      </c>
      <c r="M59" s="194">
        <f>IF($C$20=15,Configurations!$F$35,0)</f>
        <v>1360.3531010425304</v>
      </c>
      <c r="N59" s="194">
        <f>N58*(1+Constants!$D$20)</f>
        <v>65.973938153143621</v>
      </c>
      <c r="O59" s="194">
        <v>0</v>
      </c>
      <c r="P59" s="194">
        <f>K59*'Grid Power'!L32</f>
        <v>352.41650117940515</v>
      </c>
      <c r="Q59" s="194">
        <v>0</v>
      </c>
      <c r="R59" s="193">
        <f>SUM(P59:Q59)-SUM(L59:O59)</f>
        <v>-1684.4895617865345</v>
      </c>
      <c r="S59" s="193">
        <f>R59+'Analysis (Nothing)'!D20</f>
        <v>216.67214749936147</v>
      </c>
      <c r="T59" s="193">
        <v>0</v>
      </c>
      <c r="U59" s="193">
        <f>V58*Configurations!$C$48</f>
        <v>351.02178906724117</v>
      </c>
      <c r="V59" s="193">
        <f t="shared" si="26"/>
        <v>819.05084115689624</v>
      </c>
      <c r="W59" s="193">
        <v>0</v>
      </c>
      <c r="X59" s="193">
        <f>Y58*Configurations!$D$48</f>
        <v>40.46675817358053</v>
      </c>
      <c r="Y59" s="193">
        <f t="shared" si="27"/>
        <v>364.20082356222474</v>
      </c>
      <c r="Z59" s="194">
        <v>0</v>
      </c>
      <c r="AA59" s="193">
        <f>AB58*Configurations!$E$48</f>
        <v>266.03855020157829</v>
      </c>
      <c r="AB59" s="193">
        <f t="shared" si="28"/>
        <v>1064.1542008063132</v>
      </c>
      <c r="AC59" s="194">
        <f t="shared" si="29"/>
        <v>0</v>
      </c>
      <c r="AD59" s="193">
        <f>AC59*Constants!$D$23</f>
        <v>0</v>
      </c>
      <c r="AE59" s="193">
        <f t="shared" si="30"/>
        <v>216.67214749936147</v>
      </c>
      <c r="AF59" s="195">
        <f>AE59*(1+Constants!$D$20)^-H59</f>
        <v>160.99059717027069</v>
      </c>
    </row>
    <row r="60" spans="8:32" hidden="1" x14ac:dyDescent="0.3">
      <c r="H60" s="178">
        <v>16</v>
      </c>
      <c r="I60" s="192">
        <f>I59*(1-Constants!$D$11)</f>
        <v>0.92293112397423616</v>
      </c>
      <c r="J60" s="179">
        <f t="shared" si="24"/>
        <v>2677.1771596254612</v>
      </c>
      <c r="K60" s="179">
        <f t="shared" si="25"/>
        <v>2990.7545147651072</v>
      </c>
      <c r="L60" s="193">
        <f>IF(J60*'Grid Power'!K33&lt;0,0,J60*'Grid Power'!K33)</f>
        <v>642.01050035892729</v>
      </c>
      <c r="M60" s="194">
        <v>0</v>
      </c>
      <c r="N60" s="194">
        <f>N59*(1+Constants!$D$20)</f>
        <v>67.293416916206496</v>
      </c>
      <c r="O60" s="194">
        <v>0</v>
      </c>
      <c r="P60" s="194">
        <f>K60*'Grid Power'!L33</f>
        <v>354.16096286024322</v>
      </c>
      <c r="Q60" s="194">
        <v>0</v>
      </c>
      <c r="R60" s="193">
        <f>SUM(P60:Q60)-SUM(L60:O60)</f>
        <v>-355.1429544148906</v>
      </c>
      <c r="S60" s="193">
        <f>R60+'Analysis (Nothing)'!D21</f>
        <v>1635.2792386926444</v>
      </c>
      <c r="T60" s="193">
        <v>0</v>
      </c>
      <c r="U60" s="193">
        <f>V59*Configurations!$C$48</f>
        <v>245.71525234706885</v>
      </c>
      <c r="V60" s="193">
        <f t="shared" si="26"/>
        <v>573.33558880982741</v>
      </c>
      <c r="W60" s="193">
        <v>0</v>
      </c>
      <c r="X60" s="193">
        <f>Y59*Configurations!$D$48</f>
        <v>36.420082356222473</v>
      </c>
      <c r="Y60" s="193">
        <f t="shared" si="27"/>
        <v>327.78074120600229</v>
      </c>
      <c r="Z60" s="194">
        <v>0</v>
      </c>
      <c r="AA60" s="193">
        <f>AB59*Configurations!$E$48</f>
        <v>212.83084016126264</v>
      </c>
      <c r="AB60" s="193">
        <f t="shared" si="28"/>
        <v>851.32336064505057</v>
      </c>
      <c r="AC60" s="194">
        <f t="shared" si="29"/>
        <v>1140.3130638280904</v>
      </c>
      <c r="AD60" s="193">
        <f>AC60*Constants!$D$23</f>
        <v>114.03130638280905</v>
      </c>
      <c r="AE60" s="193">
        <f t="shared" si="30"/>
        <v>1521.2479323098353</v>
      </c>
      <c r="AF60" s="195">
        <f>AE60*(1+Constants!$D$20)^-H60</f>
        <v>1108.1466879125346</v>
      </c>
    </row>
    <row r="61" spans="8:32" hidden="1" x14ac:dyDescent="0.3">
      <c r="H61" s="178">
        <v>17</v>
      </c>
      <c r="I61" s="192">
        <f>I60*(1-Constants!$D$11)</f>
        <v>0.91831646835436498</v>
      </c>
      <c r="J61" s="179">
        <f t="shared" si="24"/>
        <v>2688.6474108786979</v>
      </c>
      <c r="K61" s="179">
        <f t="shared" si="25"/>
        <v>2975.8007421912816</v>
      </c>
      <c r="L61" s="193">
        <f>IF(J61*'Grid Power'!K34&lt;0,0,J61*'Grid Power'!K34)</f>
        <v>675.09524646342618</v>
      </c>
      <c r="M61" s="194">
        <v>0</v>
      </c>
      <c r="N61" s="194">
        <f>N60*(1+Constants!$D$20)</f>
        <v>68.639285254530634</v>
      </c>
      <c r="O61" s="194">
        <v>0</v>
      </c>
      <c r="P61" s="194">
        <f>K61*'Grid Power'!L34</f>
        <v>355.91405962640141</v>
      </c>
      <c r="Q61" s="194">
        <v>0</v>
      </c>
      <c r="R61" s="193">
        <f>SUM(P61:Q61)-SUM(L61:O61)</f>
        <v>-387.82047209155536</v>
      </c>
      <c r="S61" s="193">
        <f>R61+'Analysis (Nothing)'!D22</f>
        <v>1696.2451167187799</v>
      </c>
      <c r="T61" s="193">
        <v>0</v>
      </c>
      <c r="U61" s="193">
        <f>V60*Configurations!$C$48</f>
        <v>172.00067664294821</v>
      </c>
      <c r="V61" s="193">
        <f t="shared" si="26"/>
        <v>401.33491216687923</v>
      </c>
      <c r="W61" s="193">
        <v>0</v>
      </c>
      <c r="X61" s="193">
        <f>Y60*Configurations!$D$48</f>
        <v>32.77807412060023</v>
      </c>
      <c r="Y61" s="193">
        <f t="shared" si="27"/>
        <v>295.00266708540204</v>
      </c>
      <c r="Z61" s="194">
        <v>0</v>
      </c>
      <c r="AA61" s="193">
        <f>AB60*Configurations!$E$48</f>
        <v>170.26467212901014</v>
      </c>
      <c r="AB61" s="193">
        <f t="shared" si="28"/>
        <v>681.05868851604043</v>
      </c>
      <c r="AC61" s="194">
        <f t="shared" si="29"/>
        <v>1321.2016938262213</v>
      </c>
      <c r="AD61" s="193">
        <f>AC61*Constants!$D$23</f>
        <v>132.12016938262215</v>
      </c>
      <c r="AE61" s="193">
        <f t="shared" si="30"/>
        <v>1564.1249473361577</v>
      </c>
      <c r="AF61" s="195">
        <f>AE61*(1+Constants!$D$20)^-H61</f>
        <v>1117.0394804049229</v>
      </c>
    </row>
    <row r="62" spans="8:32" hidden="1" x14ac:dyDescent="0.3">
      <c r="H62" s="178">
        <v>18</v>
      </c>
      <c r="I62" s="192">
        <f>I61*(1-Constants!$D$11)</f>
        <v>0.91372488601259316</v>
      </c>
      <c r="J62" s="179">
        <f t="shared" si="24"/>
        <v>2700.0603108756677</v>
      </c>
      <c r="K62" s="179">
        <f t="shared" si="25"/>
        <v>2960.9217384803251</v>
      </c>
      <c r="L62" s="193">
        <f>IF(J62*'Grid Power'!K35&lt;0,0,J62*'Grid Power'!K35)</f>
        <v>709.92106105708103</v>
      </c>
      <c r="M62" s="194">
        <v>0</v>
      </c>
      <c r="N62" s="194">
        <f>N61*(1+Constants!$D$20)</f>
        <v>70.012070959621255</v>
      </c>
      <c r="O62" s="194">
        <v>0</v>
      </c>
      <c r="P62" s="194">
        <f>K62*'Grid Power'!L35</f>
        <v>357.67583422155212</v>
      </c>
      <c r="Q62" s="194">
        <v>0</v>
      </c>
      <c r="R62" s="193">
        <f>SUM(P62:Q62)-SUM(L62:O62)</f>
        <v>-422.25729779515018</v>
      </c>
      <c r="S62" s="193">
        <f>R62+'Analysis (Nothing)'!D23</f>
        <v>1760.0544009036228</v>
      </c>
      <c r="T62" s="193">
        <v>0</v>
      </c>
      <c r="U62" s="193">
        <f>V61*Configurations!$C$48</f>
        <v>120.40047365006376</v>
      </c>
      <c r="V62" s="193">
        <f t="shared" si="26"/>
        <v>280.93443851681548</v>
      </c>
      <c r="W62" s="193">
        <v>0</v>
      </c>
      <c r="X62" s="193">
        <f>Y61*Configurations!$D$48</f>
        <v>29.500266708540206</v>
      </c>
      <c r="Y62" s="193">
        <f t="shared" si="27"/>
        <v>265.50240037686183</v>
      </c>
      <c r="Z62" s="194">
        <v>0</v>
      </c>
      <c r="AA62" s="193">
        <f>AB61*Configurations!$E$48</f>
        <v>136.21173770320809</v>
      </c>
      <c r="AB62" s="193">
        <f t="shared" si="28"/>
        <v>544.84695081283235</v>
      </c>
      <c r="AC62" s="194">
        <f t="shared" si="29"/>
        <v>1473.9419228418108</v>
      </c>
      <c r="AD62" s="193">
        <f>AC62*Constants!$D$23</f>
        <v>147.39419228418109</v>
      </c>
      <c r="AE62" s="193">
        <f t="shared" si="30"/>
        <v>1612.6602086194416</v>
      </c>
      <c r="AF62" s="195">
        <f>AE62*(1+Constants!$D$20)^-H62</f>
        <v>1129.1191636989199</v>
      </c>
    </row>
    <row r="63" spans="8:32" hidden="1" x14ac:dyDescent="0.3">
      <c r="H63" s="178">
        <v>19</v>
      </c>
      <c r="I63" s="192">
        <f>I62*(1-Constants!$D$11)</f>
        <v>0.90915626158253016</v>
      </c>
      <c r="J63" s="179">
        <f t="shared" si="24"/>
        <v>2711.4161463726532</v>
      </c>
      <c r="K63" s="179">
        <f t="shared" si="25"/>
        <v>2946.1171297879237</v>
      </c>
      <c r="L63" s="193">
        <f>IF(J63*'Grid Power'!K36&lt;0,0,J63*'Grid Power'!K36)</f>
        <v>746.58041244333833</v>
      </c>
      <c r="M63" s="194">
        <v>0</v>
      </c>
      <c r="N63" s="194">
        <f>N62*(1+Constants!$D$20)</f>
        <v>71.412312378813681</v>
      </c>
      <c r="O63" s="194">
        <v>0</v>
      </c>
      <c r="P63" s="194">
        <f>K63*'Grid Power'!L36</f>
        <v>359.44632960094884</v>
      </c>
      <c r="Q63" s="194">
        <v>0</v>
      </c>
      <c r="R63" s="193">
        <f>SUM(P63:Q63)-SUM(L63:O63)</f>
        <v>-458.54639522120317</v>
      </c>
      <c r="S63" s="193">
        <f>R63+'Analysis (Nothing)'!D24</f>
        <v>1826.8450577972185</v>
      </c>
      <c r="T63" s="193">
        <v>0</v>
      </c>
      <c r="U63" s="193">
        <f>V62*Configurations!$C$48</f>
        <v>84.28033155504464</v>
      </c>
      <c r="V63" s="193">
        <f t="shared" si="26"/>
        <v>196.65410696177082</v>
      </c>
      <c r="W63" s="193">
        <v>0</v>
      </c>
      <c r="X63" s="193">
        <f>Y62*Configurations!$D$48</f>
        <v>26.550240037686184</v>
      </c>
      <c r="Y63" s="193">
        <f t="shared" si="27"/>
        <v>238.95216033917563</v>
      </c>
      <c r="Z63" s="194">
        <v>0</v>
      </c>
      <c r="AA63" s="193">
        <f>AB62*Configurations!$E$48</f>
        <v>108.96939016256647</v>
      </c>
      <c r="AB63" s="193">
        <f t="shared" si="28"/>
        <v>435.87756065026588</v>
      </c>
      <c r="AC63" s="194">
        <f t="shared" si="29"/>
        <v>1607.0450960419214</v>
      </c>
      <c r="AD63" s="193">
        <f>AC63*Constants!$D$23</f>
        <v>160.70450960419214</v>
      </c>
      <c r="AE63" s="193">
        <f>S63-AD63</f>
        <v>1666.1405481930265</v>
      </c>
      <c r="AF63" s="195">
        <f>AE63*(1+Constants!$D$20)^-H63</f>
        <v>1143.6901223801083</v>
      </c>
    </row>
    <row r="64" spans="8:32" hidden="1" x14ac:dyDescent="0.3">
      <c r="H64" s="178">
        <v>20</v>
      </c>
      <c r="I64" s="192">
        <f>I63*(1-Constants!$D$11)</f>
        <v>0.90461048027461755</v>
      </c>
      <c r="J64" s="179">
        <f t="shared" si="24"/>
        <v>2722.7152026921535</v>
      </c>
      <c r="K64" s="179">
        <f t="shared" si="25"/>
        <v>2931.3865441389839</v>
      </c>
      <c r="L64" s="193">
        <f>IF(J64*'Grid Power'!K37&lt;0,0,J64*'Grid Power'!K37)</f>
        <v>785.17068597168918</v>
      </c>
      <c r="M64" s="194">
        <v>0</v>
      </c>
      <c r="N64" s="194">
        <f>N63*(1+Constants!$D$20)</f>
        <v>72.840558626389949</v>
      </c>
      <c r="O64" s="194">
        <f>Configurations!$D$39+Configurations!$D$41</f>
        <v>6330.8</v>
      </c>
      <c r="P64" s="194">
        <f>K64*'Grid Power'!L37</f>
        <v>361.2255889324735</v>
      </c>
      <c r="Q64" s="194">
        <v>0</v>
      </c>
      <c r="R64" s="193">
        <f>SUM(P64:Q64)-SUM(L64:O64)</f>
        <v>-6827.5856556656063</v>
      </c>
      <c r="S64" s="193">
        <f>R64+'Analysis (Nothing)'!D25</f>
        <v>-4434.0381799881416</v>
      </c>
      <c r="T64" s="193">
        <f>Configurations!$D$39/2</f>
        <v>1862</v>
      </c>
      <c r="U64" s="193">
        <f>V63*Configurations!$C$48</f>
        <v>58.996232088531244</v>
      </c>
      <c r="V64" s="193">
        <f t="shared" si="26"/>
        <v>1999.6578748732393</v>
      </c>
      <c r="W64" s="193">
        <v>0</v>
      </c>
      <c r="X64" s="193">
        <f>Y63*Configurations!$D$48</f>
        <v>23.895216033917563</v>
      </c>
      <c r="Y64" s="193">
        <f t="shared" si="27"/>
        <v>215.05694430525807</v>
      </c>
      <c r="Z64" s="194">
        <f>Configurations!$D$41/2</f>
        <v>1303.4000000000001</v>
      </c>
      <c r="AA64" s="193">
        <f>AB63*Configurations!$E$48</f>
        <v>87.175512130053178</v>
      </c>
      <c r="AB64" s="193">
        <f t="shared" si="28"/>
        <v>1652.1020485202127</v>
      </c>
      <c r="AC64" s="194">
        <f t="shared" si="29"/>
        <v>0</v>
      </c>
      <c r="AD64" s="193">
        <f>AC64*Constants!$D$23</f>
        <v>0</v>
      </c>
      <c r="AE64" s="193">
        <f>S64-AD64</f>
        <v>-4434.0381799881416</v>
      </c>
      <c r="AF64" s="195">
        <f>AE64*(1+Constants!$D$20)^-H64</f>
        <v>-2983.980585038646</v>
      </c>
    </row>
    <row r="65" spans="8:32" hidden="1" x14ac:dyDescent="0.3">
      <c r="H65" s="178">
        <v>21</v>
      </c>
      <c r="I65" s="192">
        <f>I64*(1-Constants!$D$11)</f>
        <v>0.90008742787324447</v>
      </c>
      <c r="J65" s="179">
        <f t="shared" si="24"/>
        <v>2733.9577637300563</v>
      </c>
      <c r="K65" s="179">
        <f t="shared" ref="K65:K84" si="31">$F$18*I65</f>
        <v>2916.7296114182891</v>
      </c>
      <c r="L65" s="193">
        <f>IF(J65*'Grid Power'!K38&lt;0,0,J65*'Grid Power'!K38)</f>
        <v>825.79444484508178</v>
      </c>
      <c r="M65" s="194">
        <v>0</v>
      </c>
      <c r="N65" s="194">
        <f>N64*(1+Constants!$D$20)</f>
        <v>74.297369798917757</v>
      </c>
      <c r="O65" s="194">
        <v>0</v>
      </c>
      <c r="P65" s="194">
        <f>K65*'Grid Power'!L38</f>
        <v>363.01365559768925</v>
      </c>
      <c r="Q65" s="194">
        <v>0</v>
      </c>
      <c r="R65" s="193">
        <f>SUM(P65:Q65)-SUM(L65:O65)</f>
        <v>-537.07815904631025</v>
      </c>
      <c r="S65" s="193">
        <f>R65+'Analysis (Nothing)'!D26</f>
        <v>1969.9565197340207</v>
      </c>
      <c r="T65" s="193">
        <f>Configurations!$D$39/2</f>
        <v>1862</v>
      </c>
      <c r="U65" s="193">
        <f>V64*Configurations!$C$48</f>
        <v>599.89736246197174</v>
      </c>
      <c r="V65" s="193">
        <f t="shared" ref="V65:V84" si="32">V64+T65-U65</f>
        <v>3261.7605124112674</v>
      </c>
      <c r="W65" s="193">
        <v>1</v>
      </c>
      <c r="X65" s="193">
        <f>Y64*Configurations!$D$48</f>
        <v>21.505694430525807</v>
      </c>
      <c r="Y65" s="193">
        <f t="shared" ref="Y65:Y84" si="33">Y64+W65-X65</f>
        <v>194.55124987473226</v>
      </c>
      <c r="Z65" s="194">
        <f>Configurations!$D$41/2</f>
        <v>1303.4000000000001</v>
      </c>
      <c r="AA65" s="193">
        <f>AB64*Configurations!$E$48</f>
        <v>330.42040970404258</v>
      </c>
      <c r="AB65" s="193">
        <f t="shared" ref="AB65:AB84" si="34">AB64+Z65-AA65</f>
        <v>2625.0816388161707</v>
      </c>
      <c r="AC65" s="194">
        <f t="shared" ref="AC65:AC84" si="35">IF(S65-AA65-X65-U65&lt;0, 0,S65-AA65-X65-U65)</f>
        <v>1018.1330531374805</v>
      </c>
      <c r="AD65" s="193">
        <f>AC65*Constants!$D$23</f>
        <v>101.81330531374806</v>
      </c>
      <c r="AE65" s="193">
        <f t="shared" ref="AE65:AE84" si="36">S65-AD65</f>
        <v>1868.1432144202727</v>
      </c>
      <c r="AF65" s="195">
        <f>AE65*(1+Constants!$D$20)^-H65</f>
        <v>1232.5557151423363</v>
      </c>
    </row>
    <row r="66" spans="8:32" hidden="1" x14ac:dyDescent="0.3">
      <c r="H66" s="178">
        <v>22</v>
      </c>
      <c r="I66" s="192">
        <f>I65*(1-Constants!$D$11)</f>
        <v>0.89558699073387826</v>
      </c>
      <c r="J66" s="179">
        <f t="shared" si="24"/>
        <v>2745.1441119627698</v>
      </c>
      <c r="K66" s="179">
        <f t="shared" si="31"/>
        <v>2902.1459633611976</v>
      </c>
      <c r="L66" s="193">
        <f>IF(J66*'Grid Power'!K39&lt;0,0,J66*'Grid Power'!K39)</f>
        <v>868.55970470790976</v>
      </c>
      <c r="M66" s="194">
        <v>0</v>
      </c>
      <c r="N66" s="194">
        <f>N65*(1+Constants!$D$20)</f>
        <v>75.783317194896114</v>
      </c>
      <c r="O66" s="194">
        <v>0</v>
      </c>
      <c r="P66" s="194">
        <f>K66*'Grid Power'!L39</f>
        <v>364.81057319289778</v>
      </c>
      <c r="Q66" s="194">
        <v>0</v>
      </c>
      <c r="R66" s="193">
        <f>SUM(P66:Q66)-SUM(L66:O66)</f>
        <v>-579.53244870990807</v>
      </c>
      <c r="S66" s="193">
        <f>R66+'Analysis (Nothing)'!D27</f>
        <v>2046.5884387320882</v>
      </c>
      <c r="T66" s="193">
        <v>0</v>
      </c>
      <c r="U66" s="193">
        <f>V65*Configurations!$C$48</f>
        <v>978.52815372338023</v>
      </c>
      <c r="V66" s="193">
        <f t="shared" si="32"/>
        <v>2283.2323586878874</v>
      </c>
      <c r="W66" s="193">
        <v>2</v>
      </c>
      <c r="X66" s="193">
        <f>Y65*Configurations!$D$48</f>
        <v>19.455124987473226</v>
      </c>
      <c r="Y66" s="193">
        <f t="shared" si="33"/>
        <v>177.09612488725904</v>
      </c>
      <c r="Z66" s="194">
        <v>0</v>
      </c>
      <c r="AA66" s="193">
        <f>AB65*Configurations!$E$48</f>
        <v>525.01632776323413</v>
      </c>
      <c r="AB66" s="193">
        <f t="shared" si="34"/>
        <v>2100.0653110529365</v>
      </c>
      <c r="AC66" s="194">
        <f t="shared" si="35"/>
        <v>523.58883225800059</v>
      </c>
      <c r="AD66" s="193">
        <f>AC66*Constants!$D$23</f>
        <v>52.358883225800064</v>
      </c>
      <c r="AE66" s="193">
        <f t="shared" si="36"/>
        <v>1994.2295555062881</v>
      </c>
      <c r="AF66" s="195">
        <f>AE66*(1+Constants!$D$20)^-H66</f>
        <v>1289.9455233492465</v>
      </c>
    </row>
    <row r="67" spans="8:32" hidden="1" x14ac:dyDescent="0.3">
      <c r="H67" s="178">
        <v>23</v>
      </c>
      <c r="I67" s="192">
        <f>I66*(1-Constants!$D$11)</f>
        <v>0.89110905578020883</v>
      </c>
      <c r="J67" s="179">
        <f t="shared" si="24"/>
        <v>2756.2745284543198</v>
      </c>
      <c r="K67" s="179">
        <f t="shared" si="31"/>
        <v>2887.6352335443917</v>
      </c>
      <c r="L67" s="193">
        <f>IF(J67*'Grid Power'!K40&lt;0,0,J67*'Grid Power'!K40)</f>
        <v>913.58022273979066</v>
      </c>
      <c r="M67" s="194">
        <v>0</v>
      </c>
      <c r="N67" s="194">
        <f>N66*(1+Constants!$D$20)</f>
        <v>77.298983538794033</v>
      </c>
      <c r="O67" s="194">
        <v>0</v>
      </c>
      <c r="P67" s="194">
        <f>K67*'Grid Power'!L40</f>
        <v>366.61638553020265</v>
      </c>
      <c r="Q67" s="194">
        <v>0</v>
      </c>
      <c r="R67" s="193">
        <f>SUM(P67:Q67)-SUM(L67:O67)</f>
        <v>-624.26282074838196</v>
      </c>
      <c r="S67" s="193">
        <f>R67+'Analysis (Nothing)'!D28</f>
        <v>2126.8246756779899</v>
      </c>
      <c r="T67" s="193">
        <v>0</v>
      </c>
      <c r="U67" s="193">
        <f>V66*Configurations!$C$48</f>
        <v>684.96970760636623</v>
      </c>
      <c r="V67" s="193">
        <f t="shared" si="32"/>
        <v>1598.2626510815212</v>
      </c>
      <c r="W67" s="193">
        <v>3</v>
      </c>
      <c r="X67" s="193">
        <f>Y66*Configurations!$D$48</f>
        <v>17.709612488725906</v>
      </c>
      <c r="Y67" s="193">
        <f t="shared" si="33"/>
        <v>162.38651239853314</v>
      </c>
      <c r="Z67" s="194">
        <v>0</v>
      </c>
      <c r="AA67" s="193">
        <f>AB66*Configurations!$E$48</f>
        <v>420.01306221058735</v>
      </c>
      <c r="AB67" s="193">
        <f t="shared" si="34"/>
        <v>1680.0522488423492</v>
      </c>
      <c r="AC67" s="194">
        <f t="shared" si="35"/>
        <v>1004.1322933723104</v>
      </c>
      <c r="AD67" s="193">
        <f>AC67*Constants!$D$23</f>
        <v>100.41322933723104</v>
      </c>
      <c r="AE67" s="193">
        <f t="shared" si="36"/>
        <v>2026.4114463407589</v>
      </c>
      <c r="AF67" s="195">
        <f>AE67*(1+Constants!$D$20)^-H67</f>
        <v>1285.0608103871891</v>
      </c>
    </row>
    <row r="68" spans="8:32" hidden="1" x14ac:dyDescent="0.3">
      <c r="H68" s="178">
        <v>24</v>
      </c>
      <c r="I68" s="192">
        <f>I67*(1-Constants!$D$11)</f>
        <v>0.88665351050130781</v>
      </c>
      <c r="J68" s="179">
        <f t="shared" si="24"/>
        <v>2767.3492928634118</v>
      </c>
      <c r="K68" s="179">
        <f t="shared" si="31"/>
        <v>2873.1970573766698</v>
      </c>
      <c r="L68" s="193">
        <f>IF(J68*'Grid Power'!K41&lt;0,0,J68*'Grid Power'!K41)</f>
        <v>960.97580201837206</v>
      </c>
      <c r="M68" s="194">
        <v>0</v>
      </c>
      <c r="N68" s="194">
        <f>N67*(1+Constants!$D$20)</f>
        <v>78.844963209569912</v>
      </c>
      <c r="O68" s="194">
        <v>0</v>
      </c>
      <c r="P68" s="194">
        <f>K68*'Grid Power'!L41</f>
        <v>368.43113663857713</v>
      </c>
      <c r="Q68" s="194">
        <v>0</v>
      </c>
      <c r="R68" s="193">
        <f>SUM(P68:Q68)-SUM(L68:O68)</f>
        <v>-671.38962858936497</v>
      </c>
      <c r="S68" s="193">
        <f>R68+'Analysis (Nothing)'!D29</f>
        <v>2210.8405316415319</v>
      </c>
      <c r="T68" s="193">
        <v>0</v>
      </c>
      <c r="U68" s="193">
        <f>V67*Configurations!$C$48</f>
        <v>479.47879532445631</v>
      </c>
      <c r="V68" s="193">
        <f t="shared" si="32"/>
        <v>1118.7838557570649</v>
      </c>
      <c r="W68" s="193">
        <v>4</v>
      </c>
      <c r="X68" s="193">
        <f>Y67*Configurations!$D$48</f>
        <v>16.238651239853315</v>
      </c>
      <c r="Y68" s="193">
        <f t="shared" si="33"/>
        <v>150.14786115867983</v>
      </c>
      <c r="Z68" s="194">
        <v>0</v>
      </c>
      <c r="AA68" s="193">
        <f>AB67*Configurations!$E$48</f>
        <v>336.01044976846987</v>
      </c>
      <c r="AB68" s="193">
        <f t="shared" si="34"/>
        <v>1344.0417990738792</v>
      </c>
      <c r="AC68" s="194">
        <f t="shared" si="35"/>
        <v>1379.1126353087523</v>
      </c>
      <c r="AD68" s="193">
        <f>AC68*Constants!$D$23</f>
        <v>137.91126353087523</v>
      </c>
      <c r="AE68" s="193">
        <f t="shared" si="36"/>
        <v>2072.9292681106567</v>
      </c>
      <c r="AF68" s="195">
        <f>AE68*(1+Constants!$D$20)^-H68</f>
        <v>1288.7846689617381</v>
      </c>
    </row>
    <row r="69" spans="8:32" hidden="1" x14ac:dyDescent="0.3">
      <c r="H69" s="178">
        <v>25</v>
      </c>
      <c r="I69" s="192">
        <f>I68*(1-Constants!$D$11)</f>
        <v>0.8822202429488013</v>
      </c>
      <c r="J69" s="179">
        <f t="shared" si="24"/>
        <v>2778.3686834504583</v>
      </c>
      <c r="K69" s="179">
        <f t="shared" si="31"/>
        <v>2858.8310720897866</v>
      </c>
      <c r="L69" s="193">
        <f>IF(J69*'Grid Power'!K42&lt;0,0,J69*'Grid Power'!K42)</f>
        <v>1010.8726119544096</v>
      </c>
      <c r="M69" s="194">
        <v>0</v>
      </c>
      <c r="N69" s="194">
        <f>N68*(1+Constants!$D$20)</f>
        <v>80.421862473761308</v>
      </c>
      <c r="O69" s="194">
        <v>0</v>
      </c>
      <c r="P69" s="194">
        <f>K69*'Grid Power'!L42</f>
        <v>370.25487076493812</v>
      </c>
      <c r="Q69" s="194">
        <v>0</v>
      </c>
      <c r="R69" s="193">
        <f>SUM(P69:Q69)-SUM(L69:O69)</f>
        <v>-721.03960366323292</v>
      </c>
      <c r="S69" s="193">
        <f>R69+'Analysis (Nothing)'!D30</f>
        <v>2298.8199146589286</v>
      </c>
      <c r="T69" s="193">
        <v>0</v>
      </c>
      <c r="U69" s="193">
        <f>V68*Configurations!$C$48</f>
        <v>335.63515672711947</v>
      </c>
      <c r="V69" s="193">
        <f t="shared" si="32"/>
        <v>783.14869902994542</v>
      </c>
      <c r="W69" s="193">
        <v>5</v>
      </c>
      <c r="X69" s="193">
        <f>Y68*Configurations!$D$48</f>
        <v>15.014786115867985</v>
      </c>
      <c r="Y69" s="193">
        <f t="shared" si="33"/>
        <v>140.13307504281184</v>
      </c>
      <c r="Z69" s="194">
        <v>0</v>
      </c>
      <c r="AA69" s="193">
        <f>AB68*Configurations!$E$48</f>
        <v>268.80835981477588</v>
      </c>
      <c r="AB69" s="193">
        <f t="shared" si="34"/>
        <v>1075.2334392591033</v>
      </c>
      <c r="AC69" s="194">
        <f t="shared" si="35"/>
        <v>1679.3616120011652</v>
      </c>
      <c r="AD69" s="193">
        <f>AC69*Constants!$D$23</f>
        <v>167.93616120011654</v>
      </c>
      <c r="AE69" s="193">
        <f t="shared" si="36"/>
        <v>2130.883753458812</v>
      </c>
      <c r="AF69" s="195">
        <f>AE69*(1+Constants!$D$20)^-H69</f>
        <v>1298.839429240317</v>
      </c>
    </row>
    <row r="70" spans="8:32" hidden="1" x14ac:dyDescent="0.3">
      <c r="H70" s="178">
        <v>26</v>
      </c>
      <c r="I70" s="192">
        <f>I69*(1-Constants!$D$11)</f>
        <v>0.87780914173405733</v>
      </c>
      <c r="J70" s="179">
        <f t="shared" si="24"/>
        <v>2789.3329770845694</v>
      </c>
      <c r="K70" s="179">
        <f t="shared" si="31"/>
        <v>2844.5369167293375</v>
      </c>
      <c r="L70" s="193">
        <f>IF(J70*'Grid Power'!K43&lt;0,0,J70*'Grid Power'!K43)</f>
        <v>1063.4035256444613</v>
      </c>
      <c r="M70" s="194">
        <v>0</v>
      </c>
      <c r="N70" s="194">
        <f>N69*(1+Constants!$D$20)</f>
        <v>82.030299723236539</v>
      </c>
      <c r="O70" s="194">
        <v>0</v>
      </c>
      <c r="P70" s="194">
        <f>K70*'Grid Power'!L43</f>
        <v>372.08763237522453</v>
      </c>
      <c r="Q70" s="194">
        <v>0</v>
      </c>
      <c r="R70" s="193">
        <f>SUM(P70:Q70)-SUM(L70:O70)</f>
        <v>-773.34619299247333</v>
      </c>
      <c r="S70" s="193">
        <f>R70+'Analysis (Nothing)'!D31</f>
        <v>2390.9557643218368</v>
      </c>
      <c r="T70" s="193">
        <v>0</v>
      </c>
      <c r="U70" s="193">
        <f>V69*Configurations!$C$48</f>
        <v>234.94460970898362</v>
      </c>
      <c r="V70" s="193">
        <f t="shared" si="32"/>
        <v>548.20408932096177</v>
      </c>
      <c r="W70" s="193">
        <v>6</v>
      </c>
      <c r="X70" s="193">
        <f>Y69*Configurations!$D$48</f>
        <v>14.013307504281185</v>
      </c>
      <c r="Y70" s="193">
        <f t="shared" si="33"/>
        <v>132.11976753853065</v>
      </c>
      <c r="Z70" s="194">
        <v>0</v>
      </c>
      <c r="AA70" s="193">
        <f>AB69*Configurations!$E$48</f>
        <v>215.04668785182068</v>
      </c>
      <c r="AB70" s="193">
        <f t="shared" si="34"/>
        <v>860.1867514072826</v>
      </c>
      <c r="AC70" s="194">
        <f t="shared" si="35"/>
        <v>1926.9511592567515</v>
      </c>
      <c r="AD70" s="193">
        <f>AC70*Constants!$D$23</f>
        <v>192.69511592567517</v>
      </c>
      <c r="AE70" s="193">
        <f t="shared" si="36"/>
        <v>2198.2606483961617</v>
      </c>
      <c r="AF70" s="195">
        <f>AE70*(1+Constants!$D$20)^-H70</f>
        <v>1313.6350261421296</v>
      </c>
    </row>
    <row r="71" spans="8:32" hidden="1" x14ac:dyDescent="0.3">
      <c r="H71" s="178">
        <v>27</v>
      </c>
      <c r="I71" s="192">
        <f>I70*(1-Constants!$D$11)</f>
        <v>0.87342009602538706</v>
      </c>
      <c r="J71" s="179">
        <f t="shared" si="24"/>
        <v>2800.2424492505102</v>
      </c>
      <c r="K71" s="179">
        <f t="shared" si="31"/>
        <v>2830.3142321456912</v>
      </c>
      <c r="L71" s="193">
        <f>IF(J71*'Grid Power'!K44&lt;0,0,J71*'Grid Power'!K44)</f>
        <v>1118.7084750308391</v>
      </c>
      <c r="M71" s="194">
        <v>0</v>
      </c>
      <c r="N71" s="194">
        <f>N70*(1+Constants!$D$20)</f>
        <v>83.670905717701274</v>
      </c>
      <c r="O71" s="194">
        <v>0</v>
      </c>
      <c r="P71" s="194">
        <f>K71*'Grid Power'!L44</f>
        <v>373.92946615548198</v>
      </c>
      <c r="Q71" s="194">
        <v>0</v>
      </c>
      <c r="R71" s="193">
        <f>SUM(P71:Q71)-SUM(L71:O71)</f>
        <v>-828.44991459305834</v>
      </c>
      <c r="S71" s="193">
        <f>R71+'Analysis (Nothing)'!D32</f>
        <v>2487.4504973802696</v>
      </c>
      <c r="T71" s="193">
        <v>0</v>
      </c>
      <c r="U71" s="193">
        <f>V70*Configurations!$C$48</f>
        <v>164.46122679628851</v>
      </c>
      <c r="V71" s="193">
        <f t="shared" si="32"/>
        <v>383.74286252467323</v>
      </c>
      <c r="W71" s="193">
        <v>7</v>
      </c>
      <c r="X71" s="193">
        <f>Y70*Configurations!$D$48</f>
        <v>13.211976753853065</v>
      </c>
      <c r="Y71" s="193">
        <f t="shared" si="33"/>
        <v>125.90779078467759</v>
      </c>
      <c r="Z71" s="194">
        <v>0</v>
      </c>
      <c r="AA71" s="193">
        <f>AB70*Configurations!$E$48</f>
        <v>172.03735028145653</v>
      </c>
      <c r="AB71" s="193">
        <f t="shared" si="34"/>
        <v>688.1494011258261</v>
      </c>
      <c r="AC71" s="194">
        <f t="shared" si="35"/>
        <v>2137.7399435486718</v>
      </c>
      <c r="AD71" s="193">
        <f>AC71*Constants!$D$23</f>
        <v>213.7739943548672</v>
      </c>
      <c r="AE71" s="193">
        <f t="shared" si="36"/>
        <v>2273.6765030254023</v>
      </c>
      <c r="AF71" s="195">
        <f>AE71*(1+Constants!$D$20)^-H71</f>
        <v>1332.0607633494496</v>
      </c>
    </row>
    <row r="72" spans="8:32" hidden="1" x14ac:dyDescent="0.3">
      <c r="H72" s="178">
        <v>28</v>
      </c>
      <c r="I72" s="192">
        <f>I71*(1-Constants!$D$11)</f>
        <v>0.86905299554526017</v>
      </c>
      <c r="J72" s="179">
        <f t="shared" si="24"/>
        <v>2811.0973740556215</v>
      </c>
      <c r="K72" s="179">
        <f t="shared" si="31"/>
        <v>2816.1626609849627</v>
      </c>
      <c r="L72" s="193">
        <f>IF(J72*'Grid Power'!K45&lt;0,0,J72*'Grid Power'!K45)</f>
        <v>1176.9348248050751</v>
      </c>
      <c r="M72" s="194">
        <v>0</v>
      </c>
      <c r="N72" s="194">
        <f>N71*(1+Constants!$D$20)</f>
        <v>85.344323832055295</v>
      </c>
      <c r="O72" s="194">
        <v>0</v>
      </c>
      <c r="P72" s="194">
        <f>K72*'Grid Power'!L45</f>
        <v>375.7804170129516</v>
      </c>
      <c r="Q72" s="194">
        <v>0</v>
      </c>
      <c r="R72" s="193">
        <f>SUM(P72:Q72)-SUM(L72:O72)</f>
        <v>-886.49873162417884</v>
      </c>
      <c r="S72" s="193">
        <f>R72+'Analysis (Nothing)'!D33</f>
        <v>2588.516475402168</v>
      </c>
      <c r="T72" s="193">
        <v>0</v>
      </c>
      <c r="U72" s="193">
        <f>V71*Configurations!$C$48</f>
        <v>115.12285875740196</v>
      </c>
      <c r="V72" s="193">
        <f t="shared" si="32"/>
        <v>268.62000376727127</v>
      </c>
      <c r="W72" s="193">
        <v>8</v>
      </c>
      <c r="X72" s="193">
        <f>Y71*Configurations!$D$48</f>
        <v>12.59077907846776</v>
      </c>
      <c r="Y72" s="193">
        <f t="shared" si="33"/>
        <v>121.31701170620983</v>
      </c>
      <c r="Z72" s="194">
        <v>0</v>
      </c>
      <c r="AA72" s="193">
        <f>AB71*Configurations!$E$48</f>
        <v>137.62988022516524</v>
      </c>
      <c r="AB72" s="193">
        <f t="shared" si="34"/>
        <v>550.51952090066084</v>
      </c>
      <c r="AC72" s="194">
        <f t="shared" si="35"/>
        <v>2323.172957341133</v>
      </c>
      <c r="AD72" s="193">
        <f>AC72*Constants!$D$23</f>
        <v>232.31729573411332</v>
      </c>
      <c r="AE72" s="193">
        <f t="shared" si="36"/>
        <v>2356.1991796680545</v>
      </c>
      <c r="AF72" s="195">
        <f>AE72*(1+Constants!$D$20)^-H72</f>
        <v>1353.3408503526987</v>
      </c>
    </row>
    <row r="73" spans="8:32" hidden="1" x14ac:dyDescent="0.3">
      <c r="H73" s="178">
        <v>29</v>
      </c>
      <c r="I73" s="192">
        <f>I72*(1-Constants!$D$11)</f>
        <v>0.86470773056753381</v>
      </c>
      <c r="J73" s="179">
        <f t="shared" si="24"/>
        <v>2821.8980242367074</v>
      </c>
      <c r="K73" s="179">
        <f t="shared" si="31"/>
        <v>2802.0818476800378</v>
      </c>
      <c r="L73" s="193">
        <f>IF(J73*'Grid Power'!K46&lt;0,0,J73*'Grid Power'!K46)</f>
        <v>1238.2377660401951</v>
      </c>
      <c r="M73" s="194">
        <v>0</v>
      </c>
      <c r="N73" s="194">
        <f>N72*(1+Constants!$D$20)</f>
        <v>87.051210308696398</v>
      </c>
      <c r="O73" s="194">
        <v>0</v>
      </c>
      <c r="P73" s="194">
        <f>K73*'Grid Power'!L46</f>
        <v>377.64053007716564</v>
      </c>
      <c r="Q73" s="194">
        <v>0</v>
      </c>
      <c r="R73" s="193">
        <f>SUM(P73:Q73)-SUM(L73:O73)</f>
        <v>-947.6484462717259</v>
      </c>
      <c r="S73" s="193">
        <f>R73+'Analysis (Nothing)'!D34</f>
        <v>2694.3764955842767</v>
      </c>
      <c r="T73" s="193">
        <v>0</v>
      </c>
      <c r="U73" s="193">
        <f>V72*Configurations!$C$48</f>
        <v>80.586001130181373</v>
      </c>
      <c r="V73" s="193">
        <f t="shared" si="32"/>
        <v>188.03400263708988</v>
      </c>
      <c r="W73" s="193">
        <v>9</v>
      </c>
      <c r="X73" s="193">
        <f>Y72*Configurations!$D$48</f>
        <v>12.131701170620984</v>
      </c>
      <c r="Y73" s="193">
        <f t="shared" si="33"/>
        <v>118.18531053558884</v>
      </c>
      <c r="Z73" s="194">
        <v>0</v>
      </c>
      <c r="AA73" s="193">
        <f>AB72*Configurations!$E$48</f>
        <v>110.10390418013218</v>
      </c>
      <c r="AB73" s="193">
        <f t="shared" si="34"/>
        <v>440.41561672052865</v>
      </c>
      <c r="AC73" s="194">
        <f t="shared" si="35"/>
        <v>2491.5548891033418</v>
      </c>
      <c r="AD73" s="193">
        <f>AC73*Constants!$D$23</f>
        <v>249.15548891033418</v>
      </c>
      <c r="AE73" s="193">
        <f t="shared" si="36"/>
        <v>2445.2210066739426</v>
      </c>
      <c r="AF73" s="195">
        <f>AE73*(1+Constants!$D$20)^-H73</f>
        <v>1376.9340416049758</v>
      </c>
    </row>
    <row r="74" spans="8:32" hidden="1" x14ac:dyDescent="0.3">
      <c r="H74" s="178">
        <v>30</v>
      </c>
      <c r="I74" s="192">
        <f>I73*(1-Constants!$D$11)</f>
        <v>0.86038419191469617</v>
      </c>
      <c r="J74" s="179">
        <f t="shared" si="24"/>
        <v>2832.6446711668873</v>
      </c>
      <c r="K74" s="179">
        <f t="shared" si="31"/>
        <v>2788.0714384416378</v>
      </c>
      <c r="L74" s="193">
        <f>IF(J74*'Grid Power'!K47&lt;0,0,J74*'Grid Power'!K47)</f>
        <v>1302.7807305887143</v>
      </c>
      <c r="M74" s="194">
        <v>0</v>
      </c>
      <c r="N74" s="194">
        <f>N73*(1+Constants!$D$20)</f>
        <v>88.79223451487033</v>
      </c>
      <c r="O74" s="194">
        <f>Configurations!$D$39+Configurations!$D$41</f>
        <v>6330.8</v>
      </c>
      <c r="P74" s="194">
        <f>K74*'Grid Power'!L47</f>
        <v>379.5098507010477</v>
      </c>
      <c r="Q74" s="194">
        <v>0</v>
      </c>
      <c r="R74" s="193">
        <f>SUM(P74:Q74)-SUM(L74:O74)</f>
        <v>-7342.8631144025367</v>
      </c>
      <c r="S74" s="193">
        <f>R74+'Analysis (Nothing)'!D35</f>
        <v>-3525.5356941365976</v>
      </c>
      <c r="T74" s="193">
        <f>Configurations!$D$39/2</f>
        <v>1862</v>
      </c>
      <c r="U74" s="193">
        <f>V73*Configurations!$C$48</f>
        <v>56.410200791126961</v>
      </c>
      <c r="V74" s="193">
        <f t="shared" si="32"/>
        <v>1993.623801845963</v>
      </c>
      <c r="W74" s="193">
        <v>10</v>
      </c>
      <c r="X74" s="193">
        <f>Y73*Configurations!$D$48</f>
        <v>11.818531053558885</v>
      </c>
      <c r="Y74" s="193">
        <f t="shared" si="33"/>
        <v>116.36677948202994</v>
      </c>
      <c r="Z74" s="194">
        <f>Configurations!$D$41/2</f>
        <v>1303.4000000000001</v>
      </c>
      <c r="AA74" s="193">
        <f>AB73*Configurations!$E$48</f>
        <v>88.083123344105729</v>
      </c>
      <c r="AB74" s="193">
        <f t="shared" si="34"/>
        <v>1655.732493376423</v>
      </c>
      <c r="AC74" s="194">
        <f t="shared" si="35"/>
        <v>0</v>
      </c>
      <c r="AD74" s="193">
        <f>AC74*Constants!$D$23</f>
        <v>0</v>
      </c>
      <c r="AE74" s="193">
        <f t="shared" si="36"/>
        <v>-3525.5356941365976</v>
      </c>
      <c r="AF74" s="195">
        <f>AE74*(1+Constants!$D$20)^-H74</f>
        <v>-1946.3456247924025</v>
      </c>
    </row>
    <row r="75" spans="8:32" hidden="1" x14ac:dyDescent="0.3">
      <c r="H75" s="178">
        <v>31</v>
      </c>
      <c r="I75" s="192">
        <f>I74*(1-Constants!$D$11)</f>
        <v>0.85608227095512268</v>
      </c>
      <c r="J75" s="179">
        <f t="shared" si="24"/>
        <v>2843.3375848624169</v>
      </c>
      <c r="K75" s="179">
        <f t="shared" si="31"/>
        <v>2774.1310812494294</v>
      </c>
      <c r="L75" s="193">
        <f>IF(J75*'Grid Power'!K48&lt;0,0,J75*'Grid Power'!K48)</f>
        <v>1370.7358273375564</v>
      </c>
      <c r="M75" s="194">
        <v>0</v>
      </c>
      <c r="N75" s="194">
        <f>N74*(1+Constants!$D$20)</f>
        <v>90.568079205167734</v>
      </c>
      <c r="O75" s="194">
        <v>0</v>
      </c>
      <c r="P75" s="194">
        <f>K75*'Grid Power'!L48</f>
        <v>381.38842446201784</v>
      </c>
      <c r="Q75" s="194">
        <v>0</v>
      </c>
      <c r="R75" s="193">
        <f>SUM(P75:Q75)-SUM(L75:O75)</f>
        <v>-1079.9154820807064</v>
      </c>
      <c r="S75" s="193">
        <f>R75+'Analysis (Nothing)'!D36</f>
        <v>2921.4251455343328</v>
      </c>
      <c r="T75" s="193">
        <f>Configurations!$D$39/2</f>
        <v>1862</v>
      </c>
      <c r="U75" s="193">
        <f>V74*Configurations!$C$48</f>
        <v>598.08714055378891</v>
      </c>
      <c r="V75" s="193">
        <f t="shared" si="32"/>
        <v>3257.5366612921744</v>
      </c>
      <c r="W75" s="193">
        <v>11</v>
      </c>
      <c r="X75" s="193">
        <f>Y74*Configurations!$D$48</f>
        <v>11.636677948202994</v>
      </c>
      <c r="Y75" s="193">
        <f t="shared" si="33"/>
        <v>115.73010153382694</v>
      </c>
      <c r="Z75" s="194">
        <f>Configurations!$D$41/2</f>
        <v>1303.4000000000001</v>
      </c>
      <c r="AA75" s="193">
        <f>AB74*Configurations!$E$48</f>
        <v>331.14649867528465</v>
      </c>
      <c r="AB75" s="193">
        <f t="shared" si="34"/>
        <v>2627.9859947011382</v>
      </c>
      <c r="AC75" s="194">
        <f t="shared" si="35"/>
        <v>1980.5548283570563</v>
      </c>
      <c r="AD75" s="193">
        <f>AC75*Constants!$D$23</f>
        <v>198.05548283570565</v>
      </c>
      <c r="AE75" s="193">
        <f t="shared" si="36"/>
        <v>2723.3696626986271</v>
      </c>
      <c r="AF75" s="195">
        <f>AE75*(1+Constants!$D$20)^-H75</f>
        <v>1474.0128536342693</v>
      </c>
    </row>
    <row r="76" spans="8:32" hidden="1" x14ac:dyDescent="0.3">
      <c r="H76" s="178">
        <v>32</v>
      </c>
      <c r="I76" s="192">
        <f>I75*(1-Constants!$D$11)</f>
        <v>0.85180185960034704</v>
      </c>
      <c r="J76" s="179">
        <f t="shared" si="24"/>
        <v>2853.9770339894685</v>
      </c>
      <c r="K76" s="179">
        <f t="shared" si="31"/>
        <v>2760.260425843182</v>
      </c>
      <c r="L76" s="193">
        <f>IF(J76*'Grid Power'!K49&lt;0,0,J76*'Grid Power'!K49)</f>
        <v>1442.2843014682405</v>
      </c>
      <c r="M76" s="194">
        <v>0</v>
      </c>
      <c r="N76" s="194">
        <f>N75*(1+Constants!$D$20)</f>
        <v>92.379440789271086</v>
      </c>
      <c r="O76" s="194">
        <v>0</v>
      </c>
      <c r="P76" s="194">
        <f>K76*'Grid Power'!L49</f>
        <v>383.2762971631048</v>
      </c>
      <c r="Q76" s="194">
        <v>0</v>
      </c>
      <c r="R76" s="193">
        <f>SUM(P76:Q76)-SUM(L76:O76)</f>
        <v>-1151.3874450944068</v>
      </c>
      <c r="S76" s="193">
        <f>R76+'Analysis (Nothing)'!D37</f>
        <v>3043.1163126406782</v>
      </c>
      <c r="T76" s="193">
        <v>0</v>
      </c>
      <c r="U76" s="193">
        <f>V75*Configurations!$C$48</f>
        <v>977.26099838765231</v>
      </c>
      <c r="V76" s="193">
        <f t="shared" si="32"/>
        <v>2280.2756629045221</v>
      </c>
      <c r="W76" s="193">
        <v>12</v>
      </c>
      <c r="X76" s="193">
        <f>Y75*Configurations!$D$48</f>
        <v>11.573010153382695</v>
      </c>
      <c r="Y76" s="193">
        <f t="shared" si="33"/>
        <v>116.15709138044424</v>
      </c>
      <c r="Z76" s="194">
        <v>0</v>
      </c>
      <c r="AA76" s="193">
        <f>AB75*Configurations!$E$48</f>
        <v>525.59719894022771</v>
      </c>
      <c r="AB76" s="193">
        <f t="shared" si="34"/>
        <v>2102.3887957609104</v>
      </c>
      <c r="AC76" s="194">
        <f t="shared" si="35"/>
        <v>1528.6851051594153</v>
      </c>
      <c r="AD76" s="193">
        <f>AC76*Constants!$D$23</f>
        <v>152.86851051594155</v>
      </c>
      <c r="AE76" s="193">
        <f t="shared" si="36"/>
        <v>2890.2478021247366</v>
      </c>
      <c r="AF76" s="195">
        <f>AE76*(1+Constants!$D$20)^-H76</f>
        <v>1533.66173922649</v>
      </c>
    </row>
    <row r="77" spans="8:32" hidden="1" x14ac:dyDescent="0.3">
      <c r="H77" s="178">
        <v>33</v>
      </c>
      <c r="I77" s="192">
        <f>I76*(1-Constants!$D$11)</f>
        <v>0.84754285030234533</v>
      </c>
      <c r="J77" s="179">
        <f t="shared" si="24"/>
        <v>2864.5632858708846</v>
      </c>
      <c r="K77" s="179">
        <f t="shared" si="31"/>
        <v>2746.4591237139662</v>
      </c>
      <c r="L77" s="193">
        <f>IF(J77*'Grid Power'!K50&lt;0,0,J77*'Grid Power'!K50)</f>
        <v>1517.6170179308019</v>
      </c>
      <c r="M77" s="194">
        <v>0</v>
      </c>
      <c r="N77" s="194">
        <f>N76*(1+Constants!$D$20)</f>
        <v>94.227029605056515</v>
      </c>
      <c r="O77" s="194">
        <v>0</v>
      </c>
      <c r="P77" s="194">
        <f>K77*'Grid Power'!L50</f>
        <v>385.17351483406219</v>
      </c>
      <c r="Q77" s="194">
        <v>0</v>
      </c>
      <c r="R77" s="193">
        <f>SUM(P77:Q77)-SUM(L77:O77)</f>
        <v>-1226.6705327017962</v>
      </c>
      <c r="S77" s="193">
        <f>R77+'Analysis (Nothing)'!D38</f>
        <v>3170.6077594679136</v>
      </c>
      <c r="T77" s="193">
        <v>0</v>
      </c>
      <c r="U77" s="193">
        <f>V76*Configurations!$C$48</f>
        <v>684.08269887135657</v>
      </c>
      <c r="V77" s="193">
        <f t="shared" si="32"/>
        <v>1596.1929640331655</v>
      </c>
      <c r="W77" s="193">
        <v>13</v>
      </c>
      <c r="X77" s="193">
        <f>Y76*Configurations!$D$48</f>
        <v>11.615709138044425</v>
      </c>
      <c r="Y77" s="193">
        <f t="shared" si="33"/>
        <v>117.54138224239981</v>
      </c>
      <c r="Z77" s="194">
        <v>0</v>
      </c>
      <c r="AA77" s="193">
        <f>AB76*Configurations!$E$48</f>
        <v>420.4777591521821</v>
      </c>
      <c r="AB77" s="193">
        <f t="shared" si="34"/>
        <v>1681.9110366087284</v>
      </c>
      <c r="AC77" s="194">
        <f t="shared" si="35"/>
        <v>2054.4315923063305</v>
      </c>
      <c r="AD77" s="193">
        <f>AC77*Constants!$D$23</f>
        <v>205.44315923063306</v>
      </c>
      <c r="AE77" s="193">
        <f t="shared" si="36"/>
        <v>2965.1646002372804</v>
      </c>
      <c r="AF77" s="195">
        <f>AE77*(1+Constants!$D$20)^-H77</f>
        <v>1542.5638110763966</v>
      </c>
    </row>
    <row r="78" spans="8:32" hidden="1" x14ac:dyDescent="0.3">
      <c r="H78" s="178">
        <v>34</v>
      </c>
      <c r="I78" s="192">
        <f>I77*(1-Constants!$D$11)</f>
        <v>0.84330513605083357</v>
      </c>
      <c r="J78" s="179">
        <f t="shared" si="24"/>
        <v>2875.0966064928934</v>
      </c>
      <c r="K78" s="179">
        <f t="shared" si="31"/>
        <v>2732.7268280953963</v>
      </c>
      <c r="L78" s="193">
        <f>IF(J78*'Grid Power'!K51&lt;0,0,J78*'Grid Power'!K51)</f>
        <v>1596.9349704031549</v>
      </c>
      <c r="M78" s="194">
        <v>0</v>
      </c>
      <c r="N78" s="194">
        <f>N77*(1+Constants!$D$20)</f>
        <v>96.111570197157647</v>
      </c>
      <c r="O78" s="194">
        <v>0</v>
      </c>
      <c r="P78" s="194">
        <f>K78*'Grid Power'!L51</f>
        <v>387.08012373249079</v>
      </c>
      <c r="Q78" s="194">
        <v>0</v>
      </c>
      <c r="R78" s="193">
        <f>SUM(P78:Q78)-SUM(L78:O78)</f>
        <v>-1305.9664168678216</v>
      </c>
      <c r="S78" s="193">
        <f>R78+'Analysis (Nothing)'!D39</f>
        <v>3304.1827175340613</v>
      </c>
      <c r="T78" s="193">
        <v>0</v>
      </c>
      <c r="U78" s="193">
        <f>V77*Configurations!$C$48</f>
        <v>478.85788920994963</v>
      </c>
      <c r="V78" s="193">
        <f t="shared" si="32"/>
        <v>1117.3350748232158</v>
      </c>
      <c r="W78" s="193">
        <v>14</v>
      </c>
      <c r="X78" s="193">
        <f>Y77*Configurations!$D$48</f>
        <v>11.754138224239981</v>
      </c>
      <c r="Y78" s="193">
        <f t="shared" si="33"/>
        <v>119.78724401815983</v>
      </c>
      <c r="Z78" s="194">
        <v>0</v>
      </c>
      <c r="AA78" s="193">
        <f>AB77*Configurations!$E$48</f>
        <v>336.38220732174568</v>
      </c>
      <c r="AB78" s="193">
        <f t="shared" si="34"/>
        <v>1345.5288292869827</v>
      </c>
      <c r="AC78" s="194">
        <f t="shared" si="35"/>
        <v>2477.1884827781264</v>
      </c>
      <c r="AD78" s="193">
        <f>AC78*Constants!$D$23</f>
        <v>247.71884827781264</v>
      </c>
      <c r="AE78" s="193">
        <f t="shared" si="36"/>
        <v>3056.4638692562485</v>
      </c>
      <c r="AF78" s="195">
        <f>AE78*(1+Constants!$D$20)^-H78</f>
        <v>1558.8826605403876</v>
      </c>
    </row>
    <row r="79" spans="8:32" hidden="1" x14ac:dyDescent="0.3">
      <c r="H79" s="178">
        <v>35</v>
      </c>
      <c r="I79" s="192">
        <f>I78*(1-Constants!$D$11)</f>
        <v>0.83908861037057936</v>
      </c>
      <c r="J79" s="179">
        <f t="shared" si="24"/>
        <v>2885.5772605117932</v>
      </c>
      <c r="K79" s="179">
        <f t="shared" si="31"/>
        <v>2719.0631939549194</v>
      </c>
      <c r="L79" s="193">
        <f>IF(J79*'Grid Power'!K52&lt;0,0,J79*'Grid Power'!K52)</f>
        <v>1680.4498170741781</v>
      </c>
      <c r="M79" s="194">
        <v>0</v>
      </c>
      <c r="N79" s="194">
        <f>N78*(1+Constants!$D$20)</f>
        <v>98.033801601100805</v>
      </c>
      <c r="O79" s="194">
        <v>0</v>
      </c>
      <c r="P79" s="194">
        <f>K79*'Grid Power'!L52</f>
        <v>388.99617034496663</v>
      </c>
      <c r="Q79" s="194">
        <v>0</v>
      </c>
      <c r="R79" s="193">
        <f>SUM(P79:Q79)-SUM(L79:O79)</f>
        <v>-1389.4874483303122</v>
      </c>
      <c r="S79" s="193">
        <f>R79+'Analysis (Nothing)'!D40</f>
        <v>3444.1383535428786</v>
      </c>
      <c r="T79" s="193">
        <v>0</v>
      </c>
      <c r="U79" s="193">
        <f>V78*Configurations!$C$48</f>
        <v>335.20052244696473</v>
      </c>
      <c r="V79" s="193">
        <f t="shared" si="32"/>
        <v>782.13455237625112</v>
      </c>
      <c r="W79" s="193">
        <v>15</v>
      </c>
      <c r="X79" s="193">
        <f>Y78*Configurations!$D$48</f>
        <v>11.978724401815983</v>
      </c>
      <c r="Y79" s="193">
        <f t="shared" si="33"/>
        <v>122.80851961634383</v>
      </c>
      <c r="Z79" s="194">
        <v>0</v>
      </c>
      <c r="AA79" s="193">
        <f>AB78*Configurations!$E$48</f>
        <v>269.10576585739653</v>
      </c>
      <c r="AB79" s="193">
        <f t="shared" si="34"/>
        <v>1076.4230634295861</v>
      </c>
      <c r="AC79" s="194">
        <f t="shared" si="35"/>
        <v>2827.8533408367011</v>
      </c>
      <c r="AD79" s="193">
        <f>AC79*Constants!$D$23</f>
        <v>282.78533408367014</v>
      </c>
      <c r="AE79" s="193">
        <f t="shared" si="36"/>
        <v>3161.3530194592086</v>
      </c>
      <c r="AF79" s="195">
        <f>AE79*(1+Constants!$D$20)^-H79</f>
        <v>1580.7638053063963</v>
      </c>
    </row>
    <row r="80" spans="8:32" hidden="1" x14ac:dyDescent="0.3">
      <c r="H80" s="178">
        <v>36</v>
      </c>
      <c r="I80" s="192">
        <f>I79*(1-Constants!$D$11)</f>
        <v>0.83489316731872643</v>
      </c>
      <c r="J80" s="179">
        <f t="shared" si="24"/>
        <v>2896.0055112605974</v>
      </c>
      <c r="K80" s="179">
        <f t="shared" si="31"/>
        <v>2705.4678779851447</v>
      </c>
      <c r="L80" s="193">
        <f>IF(J80*'Grid Power'!K53&lt;0,0,J80*'Grid Power'!K53)</f>
        <v>1768.3844446588121</v>
      </c>
      <c r="M80" s="194">
        <v>0</v>
      </c>
      <c r="N80" s="194">
        <f>N79*(1+Constants!$D$20)</f>
        <v>99.994477633122827</v>
      </c>
      <c r="O80" s="194">
        <v>0</v>
      </c>
      <c r="P80" s="194">
        <f>K80*'Grid Power'!L53</f>
        <v>390.9217013881742</v>
      </c>
      <c r="Q80" s="194">
        <v>0</v>
      </c>
      <c r="R80" s="193">
        <f>SUM(P80:Q80)-SUM(L80:O80)</f>
        <v>-1477.4572209037608</v>
      </c>
      <c r="S80" s="193">
        <f>R80+'Analysis (Nothing)'!D41</f>
        <v>3590.7864578373456</v>
      </c>
      <c r="T80" s="193">
        <v>0</v>
      </c>
      <c r="U80" s="193">
        <f>V79*Configurations!$C$48</f>
        <v>234.64036571287534</v>
      </c>
      <c r="V80" s="193">
        <f t="shared" si="32"/>
        <v>547.49418666337579</v>
      </c>
      <c r="W80" s="193">
        <v>16</v>
      </c>
      <c r="X80" s="193">
        <f>Y79*Configurations!$D$48</f>
        <v>12.280851961634383</v>
      </c>
      <c r="Y80" s="193">
        <f t="shared" si="33"/>
        <v>126.52766765470945</v>
      </c>
      <c r="Z80" s="194">
        <v>0</v>
      </c>
      <c r="AA80" s="193">
        <f>AB79*Configurations!$E$48</f>
        <v>215.28461268591724</v>
      </c>
      <c r="AB80" s="193">
        <f t="shared" si="34"/>
        <v>861.13845074366895</v>
      </c>
      <c r="AC80" s="194">
        <f t="shared" si="35"/>
        <v>3128.5806274769188</v>
      </c>
      <c r="AD80" s="193">
        <f>AC80*Constants!$D$23</f>
        <v>312.85806274769192</v>
      </c>
      <c r="AE80" s="193">
        <f t="shared" si="36"/>
        <v>3277.9283950896538</v>
      </c>
      <c r="AF80" s="195">
        <f>AE80*(1+Constants!$D$20)^-H80</f>
        <v>1606.9163844699526</v>
      </c>
    </row>
    <row r="81" spans="8:32" x14ac:dyDescent="0.3">
      <c r="H81" s="178">
        <v>37</v>
      </c>
      <c r="I81" s="192">
        <f>I80*(1-Constants!$D$11)</f>
        <v>0.83071870148213278</v>
      </c>
      <c r="J81" s="179">
        <f t="shared" si="24"/>
        <v>2906.3816207556583</v>
      </c>
      <c r="K81" s="179">
        <f t="shared" si="31"/>
        <v>2691.9405385952186</v>
      </c>
      <c r="L81" s="193">
        <f>IF(J81*'Grid Power'!K54&lt;0,0,J81*'Grid Power'!K54)</f>
        <v>1860.9735621271652</v>
      </c>
      <c r="M81" s="194">
        <v>0</v>
      </c>
      <c r="N81" s="194">
        <f>N80*(1+Constants!$D$20)</f>
        <v>101.99436718578528</v>
      </c>
      <c r="O81" s="194">
        <v>0</v>
      </c>
      <c r="P81" s="194">
        <f>K81*'Grid Power'!L54</f>
        <v>392.85676381004561</v>
      </c>
      <c r="Q81" s="194">
        <v>0</v>
      </c>
      <c r="R81" s="193">
        <f>SUM(P81:Q81)-SUM(L81:O81)</f>
        <v>-1570.1111655029049</v>
      </c>
      <c r="S81" s="193">
        <f>R81+'Analysis (Nothing)'!D42</f>
        <v>3744.4541669677715</v>
      </c>
      <c r="T81" s="193">
        <v>0</v>
      </c>
      <c r="U81" s="193">
        <f>V80*Configurations!$C$48</f>
        <v>164.24825599901274</v>
      </c>
      <c r="V81" s="193">
        <f t="shared" si="32"/>
        <v>383.24593066436307</v>
      </c>
      <c r="W81" s="193">
        <v>17</v>
      </c>
      <c r="X81" s="193">
        <f>Y80*Configurations!$D$48</f>
        <v>12.652766765470945</v>
      </c>
      <c r="Y81" s="193">
        <f t="shared" si="33"/>
        <v>130.87490088923849</v>
      </c>
      <c r="Z81" s="194">
        <v>0</v>
      </c>
      <c r="AA81" s="193">
        <f>AB80*Configurations!$E$48</f>
        <v>172.22769014873381</v>
      </c>
      <c r="AB81" s="193">
        <f t="shared" si="34"/>
        <v>688.91076059493514</v>
      </c>
      <c r="AC81" s="194">
        <f t="shared" si="35"/>
        <v>3395.325454054554</v>
      </c>
      <c r="AD81" s="193">
        <f>AC81*Constants!$D$23</f>
        <v>339.53254540545544</v>
      </c>
      <c r="AE81" s="193">
        <f t="shared" si="36"/>
        <v>3404.921621562316</v>
      </c>
      <c r="AF81" s="195">
        <f>AE81*(1+Constants!$D$20)^-H81</f>
        <v>1636.4425529654684</v>
      </c>
    </row>
    <row r="82" spans="8:32" x14ac:dyDescent="0.3">
      <c r="H82" s="178">
        <v>38</v>
      </c>
      <c r="I82" s="192">
        <f>I81*(1-Constants!$D$11)</f>
        <v>0.82656510797472216</v>
      </c>
      <c r="J82" s="179">
        <f t="shared" si="24"/>
        <v>2916.705849703244</v>
      </c>
      <c r="K82" s="179">
        <f t="shared" si="31"/>
        <v>2678.4808359022427</v>
      </c>
      <c r="L82" s="193">
        <f>IF(J82*'Grid Power'!K55&lt;0,0,J82*'Grid Power'!K55)</f>
        <v>1958.4643257071173</v>
      </c>
      <c r="M82" s="194">
        <v>0</v>
      </c>
      <c r="N82" s="194">
        <f>N81*(1+Constants!$D$20)</f>
        <v>104.03425452950098</v>
      </c>
      <c r="O82" s="194">
        <v>0</v>
      </c>
      <c r="P82" s="194">
        <f>K82*'Grid Power'!L55</f>
        <v>394.80140479090534</v>
      </c>
      <c r="Q82" s="194">
        <v>0</v>
      </c>
      <c r="R82" s="193">
        <f>SUM(P82:Q82)-SUM(L82:O82)</f>
        <v>-1667.6971754457129</v>
      </c>
      <c r="S82" s="193">
        <f>R82+'Analysis (Nothing)'!D43</f>
        <v>3905.4847220692454</v>
      </c>
      <c r="T82" s="193">
        <v>0</v>
      </c>
      <c r="U82" s="193">
        <f>V81*Configurations!$C$48</f>
        <v>114.97377919930892</v>
      </c>
      <c r="V82" s="193">
        <f t="shared" si="32"/>
        <v>268.27215146505415</v>
      </c>
      <c r="W82" s="193">
        <v>18</v>
      </c>
      <c r="X82" s="193">
        <f>Y81*Configurations!$D$48</f>
        <v>13.08749008892385</v>
      </c>
      <c r="Y82" s="193">
        <f t="shared" si="33"/>
        <v>135.78741080031463</v>
      </c>
      <c r="Z82" s="194">
        <v>0</v>
      </c>
      <c r="AA82" s="193">
        <f>AB81*Configurations!$E$48</f>
        <v>137.78215211898703</v>
      </c>
      <c r="AB82" s="193">
        <f t="shared" si="34"/>
        <v>551.12860847594811</v>
      </c>
      <c r="AC82" s="194">
        <f t="shared" si="35"/>
        <v>3639.6413006620255</v>
      </c>
      <c r="AD82" s="193">
        <f>AC82*Constants!$D$23</f>
        <v>363.96413006620259</v>
      </c>
      <c r="AE82" s="193">
        <f t="shared" si="36"/>
        <v>3541.520592003043</v>
      </c>
      <c r="AF82" s="195">
        <f>AE82*(1+Constants!$D$20)^-H82</f>
        <v>1668.7191288438148</v>
      </c>
    </row>
    <row r="83" spans="8:32" x14ac:dyDescent="0.3">
      <c r="H83" s="178">
        <v>39</v>
      </c>
      <c r="I83" s="192">
        <f>I82*(1-Constants!$D$11)</f>
        <v>0.82243228243484856</v>
      </c>
      <c r="J83" s="179">
        <f t="shared" si="24"/>
        <v>2926.9784575060912</v>
      </c>
      <c r="K83" s="179">
        <f t="shared" si="31"/>
        <v>2665.0884317227315</v>
      </c>
      <c r="L83" s="193">
        <f>IF(J83*'Grid Power'!K56&lt;0,0,J83*'Grid Power'!K56)</f>
        <v>2061.1169968015024</v>
      </c>
      <c r="M83" s="194">
        <v>0</v>
      </c>
      <c r="N83" s="194">
        <f>N82*(1+Constants!$D$20)</f>
        <v>106.11493962009101</v>
      </c>
      <c r="O83" s="194">
        <v>0</v>
      </c>
      <c r="P83" s="194">
        <f>K83*'Grid Power'!L56</f>
        <v>396.75567174462032</v>
      </c>
      <c r="Q83" s="194">
        <v>0</v>
      </c>
      <c r="R83" s="193">
        <f>SUM(P83:Q83)-SUM(L83:O83)</f>
        <v>-1770.476264676973</v>
      </c>
      <c r="S83" s="193">
        <f>R83+'Analysis (Nothing)'!D44</f>
        <v>4074.238264827467</v>
      </c>
      <c r="T83" s="193">
        <v>0</v>
      </c>
      <c r="U83" s="193">
        <f>V82*Configurations!$C$48</f>
        <v>80.481645439516242</v>
      </c>
      <c r="V83" s="193">
        <f t="shared" si="32"/>
        <v>187.79050602553792</v>
      </c>
      <c r="W83" s="193">
        <v>19</v>
      </c>
      <c r="X83" s="193">
        <f>Y82*Configurations!$D$48</f>
        <v>13.578741080031463</v>
      </c>
      <c r="Y83" s="193">
        <f t="shared" si="33"/>
        <v>141.20866972028318</v>
      </c>
      <c r="Z83" s="194">
        <v>0</v>
      </c>
      <c r="AA83" s="193">
        <f>AB82*Configurations!$E$48</f>
        <v>110.22572169518963</v>
      </c>
      <c r="AB83" s="193">
        <f t="shared" si="34"/>
        <v>440.90288678075848</v>
      </c>
      <c r="AC83" s="194">
        <f t="shared" si="35"/>
        <v>3869.9521566127296</v>
      </c>
      <c r="AD83" s="193">
        <f>AC83*Constants!$D$23</f>
        <v>386.99521566127299</v>
      </c>
      <c r="AE83" s="193">
        <f t="shared" si="36"/>
        <v>3687.2430491661939</v>
      </c>
      <c r="AF83" s="195">
        <f>AE83*(1+Constants!$D$20)^-H83</f>
        <v>1703.3153761342703</v>
      </c>
    </row>
    <row r="84" spans="8:32" x14ac:dyDescent="0.3">
      <c r="H84" s="196">
        <v>40</v>
      </c>
      <c r="I84" s="197">
        <f>I83*(1-Constants!$D$11)</f>
        <v>0.81832012102267426</v>
      </c>
      <c r="J84" s="198">
        <f t="shared" si="24"/>
        <v>2937.1997022699247</v>
      </c>
      <c r="K84" s="198">
        <f t="shared" si="31"/>
        <v>2651.762989564118</v>
      </c>
      <c r="L84" s="199">
        <f>IF(J84*'Grid Power'!K57&lt;0,0,J84*'Grid Power'!K57)</f>
        <v>2169.2056345467663</v>
      </c>
      <c r="M84" s="200">
        <v>0</v>
      </c>
      <c r="N84" s="200">
        <f>N83*(1+Constants!$D$20)</f>
        <v>108.23723841249283</v>
      </c>
      <c r="O84" s="200">
        <v>0</v>
      </c>
      <c r="P84" s="200">
        <f>K84*'Grid Power'!L57</f>
        <v>398.71961231975621</v>
      </c>
      <c r="Q84" s="200">
        <f t="shared" ref="Q84" si="37">V84+Y84+AB84</f>
        <v>631.26346639073824</v>
      </c>
      <c r="R84" s="199">
        <f>SUM(P84:Q84)-SUM(L84:O84)</f>
        <v>-1247.4597942487646</v>
      </c>
      <c r="S84" s="199">
        <f>R84+'Analysis (Nothing)'!D45</f>
        <v>4882.356139291378</v>
      </c>
      <c r="T84" s="199">
        <v>0</v>
      </c>
      <c r="U84" s="199">
        <f>V83*Configurations!$C$48</f>
        <v>56.337151807661378</v>
      </c>
      <c r="V84" s="199">
        <f t="shared" si="32"/>
        <v>131.45335421787655</v>
      </c>
      <c r="W84" s="199">
        <v>20</v>
      </c>
      <c r="X84" s="199">
        <f>Y83*Configurations!$D$48</f>
        <v>14.120866972028319</v>
      </c>
      <c r="Y84" s="199">
        <f t="shared" si="33"/>
        <v>147.08780274825486</v>
      </c>
      <c r="Z84" s="200">
        <v>0</v>
      </c>
      <c r="AA84" s="199">
        <f>AB83*Configurations!$E$48</f>
        <v>88.180577356151701</v>
      </c>
      <c r="AB84" s="199">
        <f t="shared" si="34"/>
        <v>352.72230942460681</v>
      </c>
      <c r="AC84" s="200">
        <f t="shared" si="35"/>
        <v>4723.717543155537</v>
      </c>
      <c r="AD84" s="199">
        <f>AC84*Constants!$D$23</f>
        <v>472.37175431555374</v>
      </c>
      <c r="AE84" s="199">
        <f t="shared" si="36"/>
        <v>4409.9843849758245</v>
      </c>
      <c r="AF84" s="201">
        <f>AE84*(1+Constants!$D$20)^-H84</f>
        <v>1997.2396590721107</v>
      </c>
    </row>
    <row r="85" spans="8:32" x14ac:dyDescent="0.3">
      <c r="H85" s="202"/>
      <c r="I85" s="192"/>
      <c r="J85" s="179"/>
      <c r="K85" s="179"/>
      <c r="L85" s="193"/>
      <c r="M85" s="194"/>
      <c r="N85" s="194"/>
      <c r="O85" s="194"/>
      <c r="P85" s="194"/>
      <c r="Q85" s="194"/>
      <c r="R85" s="193"/>
      <c r="S85" s="193"/>
      <c r="T85" s="193"/>
      <c r="U85" s="193"/>
      <c r="V85" s="193"/>
      <c r="W85" s="193"/>
      <c r="X85" s="193"/>
      <c r="Y85" s="193"/>
      <c r="Z85" s="194"/>
      <c r="AA85" s="193"/>
      <c r="AB85" s="193"/>
      <c r="AC85" s="194"/>
      <c r="AD85" s="193"/>
      <c r="AE85" s="193"/>
      <c r="AF85" s="208"/>
    </row>
    <row r="86" spans="8:32" x14ac:dyDescent="0.3">
      <c r="H86" s="260" t="s">
        <v>218</v>
      </c>
      <c r="I86" s="260"/>
      <c r="J86" s="260"/>
      <c r="K86" s="260"/>
      <c r="L86" s="260"/>
      <c r="M86" s="260"/>
      <c r="N86" s="260"/>
      <c r="O86" s="194"/>
      <c r="P86" s="194"/>
      <c r="Q86" s="194"/>
      <c r="R86" s="193"/>
      <c r="S86" s="193"/>
      <c r="T86" s="193"/>
      <c r="U86" s="193"/>
      <c r="V86" s="193"/>
      <c r="W86" s="193"/>
      <c r="X86" s="193"/>
      <c r="Y86" s="193"/>
      <c r="Z86" s="194"/>
      <c r="AA86" s="193"/>
      <c r="AB86" s="193"/>
      <c r="AC86" s="194"/>
      <c r="AD86" s="193"/>
      <c r="AE86" s="193"/>
      <c r="AF86" s="208"/>
    </row>
    <row r="87" spans="8:32" x14ac:dyDescent="0.3">
      <c r="H87" s="265" t="s">
        <v>186</v>
      </c>
      <c r="I87" s="265"/>
      <c r="J87" s="265"/>
      <c r="K87" s="265"/>
      <c r="L87" s="265"/>
      <c r="M87" s="265" t="s">
        <v>185</v>
      </c>
      <c r="N87" s="265"/>
      <c r="O87" s="194"/>
      <c r="P87" s="194"/>
      <c r="Q87" s="194"/>
      <c r="R87" s="193"/>
      <c r="S87" s="193"/>
      <c r="T87" s="193"/>
      <c r="U87" s="193"/>
      <c r="V87" s="193"/>
      <c r="W87" s="193"/>
      <c r="X87" s="193"/>
      <c r="Y87" s="193"/>
      <c r="Z87" s="194"/>
      <c r="AA87" s="193"/>
      <c r="AB87" s="193"/>
      <c r="AC87" s="194"/>
      <c r="AD87" s="193"/>
      <c r="AE87" s="193"/>
      <c r="AF87" s="208"/>
    </row>
    <row r="88" spans="8:32" x14ac:dyDescent="0.3">
      <c r="H88" s="265" t="str">
        <f>H4</f>
        <v>Year</v>
      </c>
      <c r="I88" s="266" t="str">
        <f>I5</f>
        <v>Solar efficiency</v>
      </c>
      <c r="J88" s="265" t="s">
        <v>182</v>
      </c>
      <c r="K88" s="176" t="s">
        <v>183</v>
      </c>
      <c r="L88" s="176" t="s">
        <v>184</v>
      </c>
      <c r="M88" s="265" t="s">
        <v>187</v>
      </c>
      <c r="N88" s="176" t="s">
        <v>181</v>
      </c>
    </row>
    <row r="89" spans="8:32" x14ac:dyDescent="0.3">
      <c r="H89" s="265"/>
      <c r="I89" s="266"/>
      <c r="J89" s="265"/>
      <c r="K89" s="176" t="s">
        <v>62</v>
      </c>
      <c r="L89" s="176" t="s">
        <v>59</v>
      </c>
      <c r="M89" s="265"/>
      <c r="N89" s="176" t="s">
        <v>59</v>
      </c>
    </row>
    <row r="90" spans="8:32" x14ac:dyDescent="0.3">
      <c r="H90" s="185">
        <v>0</v>
      </c>
      <c r="I90" s="186">
        <v>1</v>
      </c>
      <c r="J90" s="186">
        <f>1-I90</f>
        <v>0</v>
      </c>
      <c r="K90" s="277">
        <f>J90*$C$18</f>
        <v>0</v>
      </c>
      <c r="L90" s="188">
        <f>K90*'Grid Power'!K17</f>
        <v>0</v>
      </c>
      <c r="M90" s="278">
        <f>H90</f>
        <v>0</v>
      </c>
      <c r="N90" s="279">
        <v>0</v>
      </c>
    </row>
    <row r="91" spans="8:32" x14ac:dyDescent="0.3">
      <c r="H91" s="178">
        <v>1</v>
      </c>
      <c r="I91" s="192">
        <f>I90*(1-Constants!$D$11)</f>
        <v>0.995</v>
      </c>
      <c r="J91" s="210">
        <f t="shared" ref="J91:J130" si="38">1-I91</f>
        <v>5.0000000000000044E-3</v>
      </c>
      <c r="K91" s="211">
        <f t="shared" ref="K91:K130" si="39">J91*$C$18</f>
        <v>45.274610928508743</v>
      </c>
      <c r="L91" s="193">
        <f>K91*'Grid Power'!K18</f>
        <v>5.5144767679418027</v>
      </c>
      <c r="M91" s="202">
        <f>H91</f>
        <v>1</v>
      </c>
      <c r="N91" s="184">
        <f>PMT(Constants!$D$21,M91,-NPV(Constants!$D$21,$J$91:L91))+Configurations!$D$38/M91</f>
        <v>6566.1588561827748</v>
      </c>
      <c r="O91" s="212">
        <f>MIN($N$91:$N$130)</f>
        <v>438.40648019475157</v>
      </c>
    </row>
    <row r="92" spans="8:32" x14ac:dyDescent="0.3">
      <c r="H92" s="178">
        <v>2</v>
      </c>
      <c r="I92" s="192">
        <f>I91*(1-Constants!$D$11)</f>
        <v>0.99002500000000004</v>
      </c>
      <c r="J92" s="210">
        <f t="shared" si="38"/>
        <v>9.9749999999999561E-3</v>
      </c>
      <c r="K92" s="211">
        <f t="shared" si="39"/>
        <v>90.322848802374466</v>
      </c>
      <c r="L92" s="193">
        <f>K92*'Grid Power'!K19</f>
        <v>11.500674725041918</v>
      </c>
      <c r="M92" s="202">
        <f t="shared" ref="M92:M130" si="40">H92</f>
        <v>2</v>
      </c>
      <c r="N92" s="184">
        <f>PMT(Constants!$D$21,M92,-NPV(Constants!$D$21,$J$91:L92))+Configurations!$D$38/M92</f>
        <v>3329.1992248908632</v>
      </c>
      <c r="O92" s="212">
        <f t="shared" ref="O92:O130" si="41">MIN($N$91:$N$130)</f>
        <v>438.40648019475157</v>
      </c>
    </row>
    <row r="93" spans="8:32" x14ac:dyDescent="0.3">
      <c r="H93" s="178">
        <v>3</v>
      </c>
      <c r="I93" s="192">
        <f>I92*(1-Constants!$D$11)</f>
        <v>0.98507487500000002</v>
      </c>
      <c r="J93" s="210">
        <f t="shared" si="38"/>
        <v>1.4925124999999984E-2</v>
      </c>
      <c r="K93" s="211">
        <f t="shared" si="39"/>
        <v>135.14584548687154</v>
      </c>
      <c r="L93" s="193">
        <f>K93*'Grid Power'!K20</f>
        <v>17.991057163804584</v>
      </c>
      <c r="M93" s="202">
        <f t="shared" si="40"/>
        <v>3</v>
      </c>
      <c r="N93" s="184">
        <f>PMT(Constants!$D$21,M93,-NPV(Constants!$D$21,$J$91:L93))+Configurations!$D$38/M93</f>
        <v>2262.7547286325471</v>
      </c>
      <c r="O93" s="212">
        <f t="shared" si="41"/>
        <v>438.40648019475157</v>
      </c>
    </row>
    <row r="94" spans="8:32" x14ac:dyDescent="0.3">
      <c r="H94" s="178">
        <v>4</v>
      </c>
      <c r="I94" s="192">
        <f>I93*(1-Constants!$D$11)</f>
        <v>0.98014950062500006</v>
      </c>
      <c r="J94" s="210">
        <f t="shared" si="38"/>
        <v>1.9850499374999941E-2</v>
      </c>
      <c r="K94" s="211">
        <f t="shared" si="39"/>
        <v>179.7447271879455</v>
      </c>
      <c r="L94" s="193">
        <f>K94*'Grid Power'!K21</f>
        <v>25.020138486771764</v>
      </c>
      <c r="M94" s="202">
        <f t="shared" si="40"/>
        <v>4</v>
      </c>
      <c r="N94" s="184">
        <f>PMT(Constants!$D$21,M94,-NPV(Constants!$D$21,$J$91:L94))+Configurations!$D$38/M94</f>
        <v>1737.7168064776042</v>
      </c>
      <c r="O94" s="212">
        <f t="shared" si="41"/>
        <v>438.40648019475157</v>
      </c>
    </row>
    <row r="95" spans="8:32" x14ac:dyDescent="0.3">
      <c r="H95" s="178">
        <v>5</v>
      </c>
      <c r="I95" s="192">
        <f>I94*(1-Constants!$D$11)</f>
        <v>0.97524875312187509</v>
      </c>
      <c r="J95" s="210">
        <f t="shared" si="38"/>
        <v>2.4751246878124911E-2</v>
      </c>
      <c r="K95" s="211">
        <f t="shared" si="39"/>
        <v>224.12061448051418</v>
      </c>
      <c r="L95" s="193">
        <f>K95*'Grid Power'!K22</f>
        <v>32.624607445659485</v>
      </c>
      <c r="M95" s="202">
        <f t="shared" si="40"/>
        <v>5</v>
      </c>
      <c r="N95" s="184">
        <f>PMT(Constants!$D$21,M95,-NPV(Constants!$D$21,$J$91:L95))+Configurations!$D$38/M95</f>
        <v>1428.3663454604757</v>
      </c>
      <c r="O95" s="212">
        <f t="shared" si="41"/>
        <v>438.40648019475157</v>
      </c>
    </row>
    <row r="96" spans="8:32" x14ac:dyDescent="0.3">
      <c r="H96" s="178">
        <v>6</v>
      </c>
      <c r="I96" s="192">
        <f>I95*(1-Constants!$D$11)</f>
        <v>0.97037250935626573</v>
      </c>
      <c r="J96" s="210">
        <f t="shared" si="38"/>
        <v>2.9627490643734267E-2</v>
      </c>
      <c r="K96" s="211">
        <f t="shared" si="39"/>
        <v>268.27462233662015</v>
      </c>
      <c r="L96" s="193">
        <f>K96*'Grid Power'!K23</f>
        <v>40.84345753500407</v>
      </c>
      <c r="M96" s="202">
        <f t="shared" si="40"/>
        <v>6</v>
      </c>
      <c r="N96" s="184">
        <f>PMT(Constants!$D$21,M96,-NPV(Constants!$D$21,$J$91:L96))+Configurations!$D$38/M96</f>
        <v>1226.2077795613675</v>
      </c>
      <c r="O96" s="212">
        <f t="shared" si="41"/>
        <v>438.40648019475157</v>
      </c>
    </row>
    <row r="97" spans="8:15" x14ac:dyDescent="0.3">
      <c r="H97" s="178">
        <v>7</v>
      </c>
      <c r="I97" s="192">
        <f>I96*(1-Constants!$D$11)</f>
        <v>0.96552064680948435</v>
      </c>
      <c r="J97" s="210">
        <f t="shared" si="38"/>
        <v>3.4479353190515649E-2</v>
      </c>
      <c r="K97" s="211">
        <f t="shared" si="39"/>
        <v>312.20786015344623</v>
      </c>
      <c r="L97" s="193">
        <f>K97*'Grid Power'!K24</f>
        <v>49.718124945425373</v>
      </c>
      <c r="M97" s="202">
        <f t="shared" si="40"/>
        <v>7</v>
      </c>
      <c r="N97" s="184">
        <f>PMT(Constants!$D$21,M97,-NPV(Constants!$D$21,$J$91:L97))+Configurations!$D$38/M97</f>
        <v>1084.8031343106063</v>
      </c>
      <c r="O97" s="212">
        <f t="shared" si="41"/>
        <v>438.40648019475157</v>
      </c>
    </row>
    <row r="98" spans="8:15" x14ac:dyDescent="0.3">
      <c r="H98" s="178">
        <v>8</v>
      </c>
      <c r="I98" s="192">
        <f>I97*(1-Constants!$D$11)</f>
        <v>0.96069304357543694</v>
      </c>
      <c r="J98" s="210">
        <f t="shared" si="38"/>
        <v>3.9306956424563055E-2</v>
      </c>
      <c r="K98" s="211">
        <f t="shared" si="39"/>
        <v>355.92143178118755</v>
      </c>
      <c r="L98" s="193">
        <f>K98*'Grid Power'!K25</f>
        <v>59.292634504123832</v>
      </c>
      <c r="M98" s="202">
        <f t="shared" si="40"/>
        <v>8</v>
      </c>
      <c r="N98" s="184">
        <f>PMT(Constants!$D$21,M98,-NPV(Constants!$D$21,$J$91:L98))+Configurations!$D$38/M98</f>
        <v>980.98102081006971</v>
      </c>
      <c r="O98" s="212">
        <f t="shared" si="41"/>
        <v>438.40648019475157</v>
      </c>
    </row>
    <row r="99" spans="8:15" x14ac:dyDescent="0.3">
      <c r="H99" s="178">
        <v>9</v>
      </c>
      <c r="I99" s="192">
        <f>I98*(1-Constants!$D$11)</f>
        <v>0.95588957835755972</v>
      </c>
      <c r="J99" s="210">
        <f t="shared" si="38"/>
        <v>4.4110421642440278E-2</v>
      </c>
      <c r="K99" s="211">
        <f t="shared" si="39"/>
        <v>399.41643555079065</v>
      </c>
      <c r="L99" s="193">
        <f>K99*'Grid Power'!K26</f>
        <v>69.613754053975853</v>
      </c>
      <c r="M99" s="202">
        <f t="shared" si="40"/>
        <v>9</v>
      </c>
      <c r="N99" s="184">
        <f>PMT(Constants!$D$21,M99,-NPV(Constants!$D$21,$J$91:L99))+Configurations!$D$38/M99</f>
        <v>901.90669381593489</v>
      </c>
      <c r="O99" s="212">
        <f t="shared" si="41"/>
        <v>438.40648019475157</v>
      </c>
    </row>
    <row r="100" spans="8:15" x14ac:dyDescent="0.3">
      <c r="H100" s="178">
        <v>10</v>
      </c>
      <c r="I100" s="192">
        <f>I99*(1-Constants!$D$11)</f>
        <v>0.95111013046577186</v>
      </c>
      <c r="J100" s="210">
        <f t="shared" si="38"/>
        <v>4.8889869534228136E-2</v>
      </c>
      <c r="K100" s="211">
        <f t="shared" si="39"/>
        <v>442.69396430154598</v>
      </c>
      <c r="L100" s="193">
        <f>K100*'Grid Power'!K27</f>
        <v>80.731157747632963</v>
      </c>
      <c r="M100" s="202">
        <f t="shared" si="40"/>
        <v>10</v>
      </c>
      <c r="N100" s="184">
        <f>PMT(Constants!$D$21,M100,-NPV(Constants!$D$21,$J$91:L100))+Configurations!$D$38/M100</f>
        <v>839.91039939509096</v>
      </c>
      <c r="O100" s="212">
        <f t="shared" si="41"/>
        <v>438.40648019475157</v>
      </c>
    </row>
    <row r="101" spans="8:15" x14ac:dyDescent="0.3">
      <c r="H101" s="178">
        <v>11</v>
      </c>
      <c r="I101" s="192">
        <f>I100*(1-Constants!$D$11)</f>
        <v>0.94635457981344295</v>
      </c>
      <c r="J101" s="210">
        <f t="shared" si="38"/>
        <v>5.3645420186557047E-2</v>
      </c>
      <c r="K101" s="211">
        <f t="shared" si="39"/>
        <v>485.75510540854737</v>
      </c>
      <c r="L101" s="193">
        <f>K101*'Grid Power'!K28</f>
        <v>92.697598759450514</v>
      </c>
      <c r="M101" s="202">
        <f t="shared" si="40"/>
        <v>11</v>
      </c>
      <c r="N101" s="184">
        <f>PMT(Constants!$D$21,M101,-NPV(Constants!$D$21,$J$91:L101))+Configurations!$D$38/M101</f>
        <v>790.136894006685</v>
      </c>
      <c r="O101" s="212">
        <f t="shared" si="41"/>
        <v>438.40648019475157</v>
      </c>
    </row>
    <row r="102" spans="8:15" x14ac:dyDescent="0.3">
      <c r="H102" s="178">
        <v>12</v>
      </c>
      <c r="I102" s="192">
        <f>I101*(1-Constants!$D$11)</f>
        <v>0.94162280691437572</v>
      </c>
      <c r="J102" s="210">
        <f t="shared" si="38"/>
        <v>5.8377193085624279E-2</v>
      </c>
      <c r="K102" s="211">
        <f t="shared" si="39"/>
        <v>528.60094081001353</v>
      </c>
      <c r="L102" s="193">
        <f>K102*'Grid Power'!K29</f>
        <v>105.56909194592748</v>
      </c>
      <c r="M102" s="202">
        <f t="shared" si="40"/>
        <v>12</v>
      </c>
      <c r="N102" s="184">
        <f>PMT(Constants!$D$21,M102,-NPV(Constants!$D$21,$J$91:L102))+Configurations!$D$38/M102</f>
        <v>749.37043079056502</v>
      </c>
      <c r="O102" s="212">
        <f t="shared" si="41"/>
        <v>438.40648019475157</v>
      </c>
    </row>
    <row r="103" spans="8:15" x14ac:dyDescent="0.3">
      <c r="H103" s="178">
        <v>13</v>
      </c>
      <c r="I103" s="192">
        <f>I102*(1-Constants!$D$11)</f>
        <v>0.93691469287980389</v>
      </c>
      <c r="J103" s="210">
        <f t="shared" si="38"/>
        <v>6.308530712019611E-2</v>
      </c>
      <c r="K103" s="211">
        <f t="shared" si="39"/>
        <v>571.23254703447174</v>
      </c>
      <c r="L103" s="193">
        <f>K103*'Grid Power'!K30</f>
        <v>119.40510701472236</v>
      </c>
      <c r="M103" s="202">
        <f t="shared" si="40"/>
        <v>13</v>
      </c>
      <c r="N103" s="184">
        <f>PMT(Constants!$D$21,M103,-NPV(Constants!$D$21,$J$91:L103))+Configurations!$D$38/M103</f>
        <v>715.40225146033663</v>
      </c>
      <c r="O103" s="212">
        <f t="shared" si="41"/>
        <v>438.40648019475157</v>
      </c>
    </row>
    <row r="104" spans="8:15" x14ac:dyDescent="0.3">
      <c r="H104" s="178">
        <v>14</v>
      </c>
      <c r="I104" s="192">
        <f>I103*(1-Constants!$D$11)</f>
        <v>0.9322301194154049</v>
      </c>
      <c r="J104" s="210">
        <f t="shared" si="38"/>
        <v>6.7769880584595099E-2</v>
      </c>
      <c r="K104" s="211">
        <f t="shared" si="39"/>
        <v>613.65099522780781</v>
      </c>
      <c r="L104" s="193">
        <f>K104*'Grid Power'!K31</f>
        <v>134.26877279329847</v>
      </c>
      <c r="M104" s="202">
        <f t="shared" si="40"/>
        <v>14</v>
      </c>
      <c r="N104" s="184">
        <f>PMT(Constants!$D$21,M104,-NPV(Constants!$D$21,$J$91:L104))+Configurations!$D$38/M104</f>
        <v>686.66931587706119</v>
      </c>
      <c r="O104" s="212">
        <f t="shared" si="41"/>
        <v>438.40648019475157</v>
      </c>
    </row>
    <row r="105" spans="8:15" x14ac:dyDescent="0.3">
      <c r="H105" s="178">
        <v>15</v>
      </c>
      <c r="I105" s="192">
        <f>I104*(1-Constants!$D$11)</f>
        <v>0.92756896881832784</v>
      </c>
      <c r="J105" s="210">
        <f t="shared" si="38"/>
        <v>7.2431031181672156E-2</v>
      </c>
      <c r="K105" s="211">
        <f t="shared" si="39"/>
        <v>655.85735118017772</v>
      </c>
      <c r="L105" s="193">
        <f>K105*'Grid Power'!K32</f>
        <v>150.22709322092746</v>
      </c>
      <c r="M105" s="202">
        <f t="shared" si="40"/>
        <v>15</v>
      </c>
      <c r="N105" s="184">
        <f>PMT(Constants!$D$21,M105,-NPV(Constants!$D$21,$J$91:L105))+Configurations!$D$38/M105</f>
        <v>662.03767875339645</v>
      </c>
      <c r="O105" s="212">
        <f t="shared" si="41"/>
        <v>438.40648019475157</v>
      </c>
    </row>
    <row r="106" spans="8:15" x14ac:dyDescent="0.3">
      <c r="H106" s="178">
        <v>16</v>
      </c>
      <c r="I106" s="192">
        <f>I105*(1-Constants!$D$11)</f>
        <v>0.92293112397423616</v>
      </c>
      <c r="J106" s="210">
        <f t="shared" si="38"/>
        <v>7.7068876025763844E-2</v>
      </c>
      <c r="K106" s="211">
        <f t="shared" si="39"/>
        <v>697.85267535278604</v>
      </c>
      <c r="L106" s="193">
        <f>K106*'Grid Power'!K33</f>
        <v>167.35117572224385</v>
      </c>
      <c r="M106" s="202">
        <f t="shared" si="40"/>
        <v>16</v>
      </c>
      <c r="N106" s="184">
        <f>PMT(Constants!$D$21,M106,-NPV(Constants!$D$21,$J$91:L106))+Configurations!$D$38/M106</f>
        <v>640.66721920452721</v>
      </c>
      <c r="O106" s="212">
        <f t="shared" si="41"/>
        <v>438.40648019475157</v>
      </c>
    </row>
    <row r="107" spans="8:15" x14ac:dyDescent="0.3">
      <c r="H107" s="178">
        <v>17</v>
      </c>
      <c r="I107" s="192">
        <f>I106*(1-Constants!$D$11)</f>
        <v>0.91831646835436498</v>
      </c>
      <c r="J107" s="210">
        <f t="shared" si="38"/>
        <v>8.1683531645635021E-2</v>
      </c>
      <c r="K107" s="211">
        <f t="shared" si="39"/>
        <v>739.63802290453077</v>
      </c>
      <c r="L107" s="193">
        <f>K107*'Grid Power'!K34</f>
        <v>185.71647265688392</v>
      </c>
      <c r="M107" s="202">
        <f t="shared" si="40"/>
        <v>17</v>
      </c>
      <c r="N107" s="184">
        <f>PMT(Constants!$D$21,M107,-NPV(Constants!$D$21,$J$91:L107))+Configurations!$D$38/M107</f>
        <v>621.92421526716203</v>
      </c>
      <c r="O107" s="212">
        <f t="shared" si="41"/>
        <v>438.40648019475157</v>
      </c>
    </row>
    <row r="108" spans="8:15" x14ac:dyDescent="0.3">
      <c r="H108" s="178">
        <v>18</v>
      </c>
      <c r="I108" s="192">
        <f>I107*(1-Constants!$D$11)</f>
        <v>0.91372488601259316</v>
      </c>
      <c r="J108" s="210">
        <f t="shared" si="38"/>
        <v>8.6275113987406837E-2</v>
      </c>
      <c r="K108" s="211">
        <f t="shared" si="39"/>
        <v>781.21444371851669</v>
      </c>
      <c r="L108" s="193">
        <f>K108*'Grid Power'!K35</f>
        <v>205.40303657806143</v>
      </c>
      <c r="M108" s="202">
        <f t="shared" si="40"/>
        <v>18</v>
      </c>
      <c r="N108" s="184">
        <f>PMT(Constants!$D$21,M108,-NPV(Constants!$D$21,$J$91:L108))+Configurations!$D$38/M108</f>
        <v>605.3231486462754</v>
      </c>
      <c r="O108" s="212">
        <f t="shared" si="41"/>
        <v>438.40648019475157</v>
      </c>
    </row>
    <row r="109" spans="8:15" x14ac:dyDescent="0.3">
      <c r="H109" s="178">
        <v>19</v>
      </c>
      <c r="I109" s="192">
        <f>I108*(1-Constants!$D$11)</f>
        <v>0.90915626158253016</v>
      </c>
      <c r="J109" s="210">
        <f t="shared" si="38"/>
        <v>9.0843738417469844E-2</v>
      </c>
      <c r="K109" s="211">
        <f t="shared" si="39"/>
        <v>822.58298242843318</v>
      </c>
      <c r="L109" s="193">
        <f>K109*'Grid Power'!K36</f>
        <v>226.49579007334222</v>
      </c>
      <c r="M109" s="202">
        <f t="shared" si="40"/>
        <v>19</v>
      </c>
      <c r="N109" s="184">
        <f>PMT(Constants!$D$21,M109,-NPV(Constants!$D$21,$J$91:L109))+Configurations!$D$38/M109</f>
        <v>590.48696338713</v>
      </c>
      <c r="O109" s="212">
        <f t="shared" si="41"/>
        <v>438.40648019475157</v>
      </c>
    </row>
    <row r="110" spans="8:15" x14ac:dyDescent="0.3">
      <c r="H110" s="178">
        <v>20</v>
      </c>
      <c r="I110" s="192">
        <f>I109*(1-Constants!$D$11)</f>
        <v>0.90461048027461755</v>
      </c>
      <c r="J110" s="210">
        <f t="shared" si="38"/>
        <v>9.5389519725382454E-2</v>
      </c>
      <c r="K110" s="211">
        <f t="shared" si="39"/>
        <v>863.74467844479932</v>
      </c>
      <c r="L110" s="193">
        <f>K110*'Grid Power'!K37</f>
        <v>249.0848110034882</v>
      </c>
      <c r="M110" s="202">
        <f t="shared" si="40"/>
        <v>20</v>
      </c>
      <c r="N110" s="184">
        <f>PMT(Constants!$D$21,M110,-NPV(Constants!$D$21,$J$91:L110))+Configurations!$D$38/M110</f>
        <v>577.11931326178455</v>
      </c>
      <c r="O110" s="212">
        <f t="shared" si="41"/>
        <v>438.40648019475157</v>
      </c>
    </row>
    <row r="111" spans="8:15" x14ac:dyDescent="0.3">
      <c r="H111" s="178">
        <v>21</v>
      </c>
      <c r="I111" s="192">
        <f>I110*(1-Constants!$D$11)</f>
        <v>0.90008742787324447</v>
      </c>
      <c r="J111" s="210">
        <f t="shared" si="38"/>
        <v>9.9912572126755528E-2</v>
      </c>
      <c r="K111" s="211">
        <f t="shared" si="39"/>
        <v>904.70056598108397</v>
      </c>
      <c r="L111" s="193">
        <f>K111*'Grid Power'!K38</f>
        <v>273.26563400016988</v>
      </c>
      <c r="M111" s="202">
        <f t="shared" si="40"/>
        <v>21</v>
      </c>
      <c r="N111" s="184">
        <f>PMT(Constants!$D$21,M111,-NPV(Constants!$D$21,$J$91:L111))+Configurations!$D$38/M111</f>
        <v>564.98479609703668</v>
      </c>
      <c r="O111" s="212">
        <f t="shared" si="41"/>
        <v>438.40648019475157</v>
      </c>
    </row>
    <row r="112" spans="8:15" x14ac:dyDescent="0.3">
      <c r="H112" s="178">
        <v>22</v>
      </c>
      <c r="I112" s="192">
        <f>I111*(1-Constants!$D$11)</f>
        <v>0.89558699073387826</v>
      </c>
      <c r="J112" s="210">
        <f t="shared" si="38"/>
        <v>0.10441300926612174</v>
      </c>
      <c r="K112" s="211">
        <f t="shared" si="39"/>
        <v>945.45167407968711</v>
      </c>
      <c r="L112" s="193">
        <f>K112*'Grid Power'!K39</f>
        <v>299.13956913071127</v>
      </c>
      <c r="M112" s="202">
        <f t="shared" si="40"/>
        <v>22</v>
      </c>
      <c r="N112" s="184">
        <f>PMT(Constants!$D$21,M112,-NPV(Constants!$D$21,$J$91:L112))+Configurations!$D$38/M112</f>
        <v>553.89462890043842</v>
      </c>
      <c r="O112" s="212">
        <f t="shared" si="41"/>
        <v>438.40648019475157</v>
      </c>
    </row>
    <row r="113" spans="8:15" x14ac:dyDescent="0.3">
      <c r="H113" s="178">
        <v>23</v>
      </c>
      <c r="I113" s="192">
        <f>I112*(1-Constants!$D$11)</f>
        <v>0.89110905578020883</v>
      </c>
      <c r="J113" s="210">
        <f t="shared" si="38"/>
        <v>0.10889094421979117</v>
      </c>
      <c r="K113" s="211">
        <f t="shared" si="39"/>
        <v>985.99902663779778</v>
      </c>
      <c r="L113" s="193">
        <f>K113*'Grid Power'!K40</f>
        <v>326.81403868798441</v>
      </c>
      <c r="M113" s="202">
        <f t="shared" si="40"/>
        <v>23</v>
      </c>
      <c r="N113" s="184">
        <f>PMT(Constants!$D$21,M113,-NPV(Constants!$D$21,$J$91:L113))+Configurations!$D$38/M113</f>
        <v>543.6961036428911</v>
      </c>
      <c r="O113" s="212">
        <f t="shared" si="41"/>
        <v>438.40648019475157</v>
      </c>
    </row>
    <row r="114" spans="8:15" x14ac:dyDescent="0.3">
      <c r="H114" s="178">
        <v>24</v>
      </c>
      <c r="I114" s="192">
        <f>I113*(1-Constants!$D$11)</f>
        <v>0.88665351050130781</v>
      </c>
      <c r="J114" s="210">
        <f t="shared" si="38"/>
        <v>0.11334648949869219</v>
      </c>
      <c r="K114" s="211">
        <f t="shared" si="39"/>
        <v>1026.3436424331173</v>
      </c>
      <c r="L114" s="193">
        <f>K114*'Grid Power'!K41</f>
        <v>356.40293311622179</v>
      </c>
      <c r="M114" s="202">
        <f t="shared" si="40"/>
        <v>24</v>
      </c>
      <c r="N114" s="184">
        <f>PMT(Constants!$D$21,M114,-NPV(Constants!$D$21,$J$91:L114))+Configurations!$D$38/M114</f>
        <v>534.26471727778085</v>
      </c>
      <c r="O114" s="212">
        <f t="shared" si="41"/>
        <v>438.40648019475157</v>
      </c>
    </row>
    <row r="115" spans="8:15" x14ac:dyDescent="0.3">
      <c r="H115" s="178">
        <v>25</v>
      </c>
      <c r="I115" s="192">
        <f>I114*(1-Constants!$D$11)</f>
        <v>0.8822202429488013</v>
      </c>
      <c r="J115" s="210">
        <f t="shared" si="38"/>
        <v>0.1177797570511987</v>
      </c>
      <c r="K115" s="211">
        <f t="shared" si="39"/>
        <v>1066.48653514946</v>
      </c>
      <c r="L115" s="193">
        <f>K115*'Grid Power'!K42</f>
        <v>388.02698713904016</v>
      </c>
      <c r="M115" s="202">
        <f t="shared" si="40"/>
        <v>25</v>
      </c>
      <c r="N115" s="184">
        <f>PMT(Constants!$D$21,M115,-NPV(Constants!$D$21,$J$91:L115))+Configurations!$D$38/M115</f>
        <v>525.4982239320459</v>
      </c>
      <c r="O115" s="212">
        <f t="shared" si="41"/>
        <v>438.40648019475157</v>
      </c>
    </row>
    <row r="116" spans="8:15" x14ac:dyDescent="0.3">
      <c r="H116" s="178">
        <v>26</v>
      </c>
      <c r="I116" s="192">
        <f>I115*(1-Constants!$D$11)</f>
        <v>0.87780914173405733</v>
      </c>
      <c r="J116" s="210">
        <f t="shared" si="38"/>
        <v>0.12219085826594267</v>
      </c>
      <c r="K116" s="211">
        <f t="shared" si="39"/>
        <v>1106.4287134022211</v>
      </c>
      <c r="L116" s="193">
        <f>K116*'Grid Power'!K43</f>
        <v>421.81417721449554</v>
      </c>
      <c r="M116" s="202">
        <f t="shared" si="40"/>
        <v>26</v>
      </c>
      <c r="N116" s="184">
        <f>PMT(Constants!$D$21,M116,-NPV(Constants!$D$21,$J$91:L116))+Configurations!$D$38/M116</f>
        <v>517.31208887516959</v>
      </c>
      <c r="O116" s="212">
        <f t="shared" si="41"/>
        <v>438.40648019475157</v>
      </c>
    </row>
    <row r="117" spans="8:15" x14ac:dyDescent="0.3">
      <c r="H117" s="178">
        <v>27</v>
      </c>
      <c r="I117" s="192">
        <f>I116*(1-Constants!$D$11)</f>
        <v>0.87342009602538706</v>
      </c>
      <c r="J117" s="210">
        <f t="shared" si="38"/>
        <v>0.12657990397461294</v>
      </c>
      <c r="K117" s="211">
        <f t="shared" si="39"/>
        <v>1146.1711807637187</v>
      </c>
      <c r="L117" s="193">
        <f>K117*'Grid Power'!K44</f>
        <v>457.9001415036999</v>
      </c>
      <c r="M117" s="202">
        <f t="shared" si="40"/>
        <v>27</v>
      </c>
      <c r="N117" s="184">
        <f>PMT(Constants!$D$21,M117,-NPV(Constants!$D$21,$J$91:L117))+Configurations!$D$38/M117</f>
        <v>509.63597829845241</v>
      </c>
      <c r="O117" s="212">
        <f t="shared" si="41"/>
        <v>438.40648019475157</v>
      </c>
    </row>
    <row r="118" spans="8:15" x14ac:dyDescent="0.3">
      <c r="H118" s="178">
        <v>28</v>
      </c>
      <c r="I118" s="192">
        <f>I117*(1-Constants!$D$11)</f>
        <v>0.86905299554526017</v>
      </c>
      <c r="J118" s="210">
        <f t="shared" si="38"/>
        <v>0.13094700445473983</v>
      </c>
      <c r="K118" s="211">
        <f t="shared" si="39"/>
        <v>1185.7149357884084</v>
      </c>
      <c r="L118" s="193">
        <f>K118*'Grid Power'!K45</f>
        <v>496.42862360458355</v>
      </c>
      <c r="M118" s="202">
        <f t="shared" si="40"/>
        <v>28</v>
      </c>
      <c r="N118" s="184">
        <f>PMT(Constants!$D$21,M118,-NPV(Constants!$D$21,$J$91:L118))+Configurations!$D$38/M118</f>
        <v>502.41102370781408</v>
      </c>
      <c r="O118" s="212">
        <f t="shared" si="41"/>
        <v>438.40648019475157</v>
      </c>
    </row>
    <row r="119" spans="8:15" x14ac:dyDescent="0.3">
      <c r="H119" s="178">
        <v>29</v>
      </c>
      <c r="I119" s="192">
        <f>I118*(1-Constants!$D$11)</f>
        <v>0.86470773056753381</v>
      </c>
      <c r="J119" s="210">
        <f t="shared" si="38"/>
        <v>0.13529226943246619</v>
      </c>
      <c r="K119" s="211">
        <f t="shared" si="39"/>
        <v>1225.0609720379755</v>
      </c>
      <c r="L119" s="193">
        <f>K119*'Grid Power'!K46</f>
        <v>537.5519413709651</v>
      </c>
      <c r="M119" s="202">
        <f t="shared" si="40"/>
        <v>29</v>
      </c>
      <c r="N119" s="184">
        <f>PMT(Constants!$D$21,M119,-NPV(Constants!$D$21,$J$91:L119))+Configurations!$D$38/M119</f>
        <v>495.58767197278354</v>
      </c>
      <c r="O119" s="212">
        <f t="shared" si="41"/>
        <v>438.40648019475157</v>
      </c>
    </row>
    <row r="120" spans="8:15" x14ac:dyDescent="0.3">
      <c r="H120" s="178">
        <v>30</v>
      </c>
      <c r="I120" s="192">
        <f>I119*(1-Constants!$D$11)</f>
        <v>0.86038419191469617</v>
      </c>
      <c r="J120" s="210">
        <f t="shared" si="38"/>
        <v>0.13961580808530383</v>
      </c>
      <c r="K120" s="211">
        <f t="shared" si="39"/>
        <v>1264.210278106294</v>
      </c>
      <c r="L120" s="193">
        <f>K120*'Grid Power'!K47</f>
        <v>581.43148220938508</v>
      </c>
      <c r="M120" s="202">
        <f t="shared" si="40"/>
        <v>30</v>
      </c>
      <c r="N120" s="184">
        <f>PMT(Constants!$D$21,M120,-NPV(Constants!$D$21,$J$91:L120))+Configurations!$D$38/M120</f>
        <v>489.1239826273204</v>
      </c>
      <c r="O120" s="212">
        <f t="shared" si="41"/>
        <v>438.40648019475157</v>
      </c>
    </row>
    <row r="121" spans="8:15" x14ac:dyDescent="0.3">
      <c r="H121" s="178">
        <v>31</v>
      </c>
      <c r="I121" s="192">
        <f>I120*(1-Constants!$D$11)</f>
        <v>0.85608227095512268</v>
      </c>
      <c r="J121" s="210">
        <f t="shared" si="38"/>
        <v>0.14391772904487732</v>
      </c>
      <c r="K121" s="211">
        <f t="shared" si="39"/>
        <v>1303.1638376442713</v>
      </c>
      <c r="L121" s="193">
        <f>K121*'Grid Power'!K48</f>
        <v>628.23822632237329</v>
      </c>
      <c r="M121" s="202">
        <f t="shared" si="40"/>
        <v>31</v>
      </c>
      <c r="N121" s="184">
        <f>PMT(Constants!$D$21,M121,-NPV(Constants!$D$21,$J$91:L121))+Configurations!$D$38/M121</f>
        <v>482.98426988141057</v>
      </c>
      <c r="O121" s="212">
        <f t="shared" si="41"/>
        <v>438.40648019475157</v>
      </c>
    </row>
    <row r="122" spans="8:15" x14ac:dyDescent="0.3">
      <c r="H122" s="178">
        <v>32</v>
      </c>
      <c r="I122" s="192">
        <f>I121*(1-Constants!$D$11)</f>
        <v>0.85180185960034704</v>
      </c>
      <c r="J122" s="210">
        <f t="shared" si="38"/>
        <v>0.14819814039965296</v>
      </c>
      <c r="K122" s="211">
        <f t="shared" si="39"/>
        <v>1341.9226293845588</v>
      </c>
      <c r="L122" s="193">
        <f>K122*'Grid Power'!K49</f>
        <v>678.15329944714438</v>
      </c>
      <c r="M122" s="202">
        <f t="shared" si="40"/>
        <v>32</v>
      </c>
      <c r="N122" s="184">
        <f>PMT(Constants!$D$21,M122,-NPV(Constants!$D$21,$J$91:L122))+Configurations!$D$38/M122</f>
        <v>477.13801256750645</v>
      </c>
      <c r="O122" s="212">
        <f t="shared" si="41"/>
        <v>438.40648019475157</v>
      </c>
    </row>
    <row r="123" spans="8:15" x14ac:dyDescent="0.3">
      <c r="H123" s="178">
        <v>33</v>
      </c>
      <c r="I123" s="192">
        <f>I122*(1-Constants!$D$11)</f>
        <v>0.84754285030234533</v>
      </c>
      <c r="J123" s="210">
        <f t="shared" si="38"/>
        <v>0.15245714969765467</v>
      </c>
      <c r="K123" s="211">
        <f t="shared" si="39"/>
        <v>1380.4876271661446</v>
      </c>
      <c r="L123" s="193">
        <f>K123*'Grid Power'!K50</f>
        <v>731.36855672340835</v>
      </c>
      <c r="M123" s="202">
        <f t="shared" si="40"/>
        <v>33</v>
      </c>
      <c r="N123" s="184">
        <f>PMT(Constants!$D$21,M123,-NPV(Constants!$D$21,$J$91:L123))+Configurations!$D$38/M123</f>
        <v>471.55897397379044</v>
      </c>
      <c r="O123" s="212">
        <f t="shared" si="41"/>
        <v>438.40648019475157</v>
      </c>
    </row>
    <row r="124" spans="8:15" x14ac:dyDescent="0.3">
      <c r="H124" s="178">
        <v>34</v>
      </c>
      <c r="I124" s="192">
        <f>I123*(1-Constants!$D$11)</f>
        <v>0.84330513605083357</v>
      </c>
      <c r="J124" s="210">
        <f t="shared" si="38"/>
        <v>0.15669486394916643</v>
      </c>
      <c r="K124" s="211">
        <f t="shared" si="39"/>
        <v>1418.8597999588228</v>
      </c>
      <c r="L124" s="193">
        <f>K124*'Grid Power'!K51</f>
        <v>788.08719941323113</v>
      </c>
      <c r="M124" s="202">
        <f t="shared" si="40"/>
        <v>34</v>
      </c>
      <c r="N124" s="184">
        <f>PMT(Constants!$D$21,M124,-NPV(Constants!$D$21,$J$91:L124))+Configurations!$D$38/M124</f>
        <v>466.22448727748474</v>
      </c>
      <c r="O124" s="212">
        <f t="shared" si="41"/>
        <v>438.40648019475157</v>
      </c>
    </row>
    <row r="125" spans="8:15" x14ac:dyDescent="0.3">
      <c r="H125" s="178">
        <v>35</v>
      </c>
      <c r="I125" s="192">
        <f>I124*(1-Constants!$D$11)</f>
        <v>0.83908861037057936</v>
      </c>
      <c r="J125" s="210">
        <f t="shared" si="38"/>
        <v>0.16091138962942064</v>
      </c>
      <c r="K125" s="211">
        <f t="shared" si="39"/>
        <v>1457.0401118875379</v>
      </c>
      <c r="L125" s="193">
        <f>K125*'Grid Power'!K52</f>
        <v>848.52442628997017</v>
      </c>
      <c r="M125" s="202">
        <f t="shared" si="40"/>
        <v>35</v>
      </c>
      <c r="N125" s="184">
        <f>PMT(Constants!$D$21,M125,-NPV(Constants!$D$21,$J$91:L125))+Configurations!$D$38/M125</f>
        <v>461.11487250578813</v>
      </c>
      <c r="O125" s="212">
        <f t="shared" si="41"/>
        <v>438.40648019475157</v>
      </c>
    </row>
    <row r="126" spans="8:15" x14ac:dyDescent="0.3">
      <c r="H126" s="178">
        <v>36</v>
      </c>
      <c r="I126" s="192">
        <f>I125*(1-Constants!$D$11)</f>
        <v>0.83489316731872643</v>
      </c>
      <c r="J126" s="210">
        <f t="shared" si="38"/>
        <v>0.16510683268127357</v>
      </c>
      <c r="K126" s="211">
        <f t="shared" si="39"/>
        <v>1495.0295222566092</v>
      </c>
      <c r="L126" s="193">
        <f>K126*'Grid Power'!K53</f>
        <v>912.90812161247356</v>
      </c>
      <c r="M126" s="202">
        <f t="shared" si="40"/>
        <v>36</v>
      </c>
      <c r="N126" s="184">
        <f>PMT(Constants!$D$21,M126,-NPV(Constants!$D$21,$J$91:L126))+Configurations!$D$38/M126</f>
        <v>456.21295860536577</v>
      </c>
      <c r="O126" s="212">
        <f t="shared" si="41"/>
        <v>438.40648019475157</v>
      </c>
    </row>
    <row r="127" spans="8:15" x14ac:dyDescent="0.3">
      <c r="H127" s="178">
        <v>37</v>
      </c>
      <c r="I127" s="192">
        <f>I126*(1-Constants!$D$11)</f>
        <v>0.83071870148213278</v>
      </c>
      <c r="J127" s="210">
        <f t="shared" si="38"/>
        <v>0.16928129851786722</v>
      </c>
      <c r="K127" s="211">
        <f t="shared" si="39"/>
        <v>1532.8289855738349</v>
      </c>
      <c r="L127" s="193">
        <f>K127*'Grid Power'!K54</f>
        <v>981.47958170525646</v>
      </c>
      <c r="M127" s="202">
        <f t="shared" si="40"/>
        <v>37</v>
      </c>
      <c r="N127" s="184">
        <f>PMT(Constants!$D$21,M127,-NPV(Constants!$D$21,$J$91:L127))+Configurations!$D$38/M127</f>
        <v>451.5036899864017</v>
      </c>
      <c r="O127" s="212">
        <f t="shared" si="41"/>
        <v>438.40648019475157</v>
      </c>
    </row>
    <row r="128" spans="8:15" x14ac:dyDescent="0.3">
      <c r="H128" s="178">
        <v>38</v>
      </c>
      <c r="I128" s="192">
        <f>I127*(1-Constants!$D$11)</f>
        <v>0.82656510797472216</v>
      </c>
      <c r="J128" s="210">
        <f t="shared" si="38"/>
        <v>0.17343489202527784</v>
      </c>
      <c r="K128" s="211">
        <f t="shared" si="39"/>
        <v>1570.4394515744741</v>
      </c>
      <c r="L128" s="193">
        <f>K128*'Grid Power'!K55</f>
        <v>1054.4942822755283</v>
      </c>
      <c r="M128" s="202">
        <f t="shared" si="40"/>
        <v>38</v>
      </c>
      <c r="N128" s="184">
        <f>PMT(Constants!$D$21,M128,-NPV(Constants!$D$21,$J$91:L128))+Configurations!$D$38/M128</f>
        <v>446.97380131621196</v>
      </c>
      <c r="O128" s="212">
        <f t="shared" si="41"/>
        <v>438.40648019475157</v>
      </c>
    </row>
    <row r="129" spans="8:15" x14ac:dyDescent="0.3">
      <c r="H129" s="178">
        <v>39</v>
      </c>
      <c r="I129" s="192">
        <f>I128*(1-Constants!$D$11)</f>
        <v>0.82243228243484856</v>
      </c>
      <c r="J129" s="210">
        <f t="shared" si="38"/>
        <v>0.17756771756515144</v>
      </c>
      <c r="K129" s="211">
        <f t="shared" si="39"/>
        <v>1607.8618652451103</v>
      </c>
      <c r="L129" s="193">
        <f>K129*'Grid Power'!K56</f>
        <v>1132.222688714055</v>
      </c>
      <c r="M129" s="202">
        <f t="shared" si="40"/>
        <v>39</v>
      </c>
      <c r="N129" s="184">
        <f>PMT(Constants!$D$21,M129,-NPV(Constants!$D$21,$J$91:L129))+Configurations!$D$38/M129</f>
        <v>442.61154772361056</v>
      </c>
      <c r="O129" s="212">
        <f t="shared" si="41"/>
        <v>438.40648019475157</v>
      </c>
    </row>
    <row r="130" spans="8:15" x14ac:dyDescent="0.3">
      <c r="H130" s="196">
        <v>40</v>
      </c>
      <c r="I130" s="197">
        <f>I129*(1-Constants!$D$11)</f>
        <v>0.81832012102267426</v>
      </c>
      <c r="J130" s="213">
        <f t="shared" si="38"/>
        <v>0.18167987897732574</v>
      </c>
      <c r="K130" s="280">
        <f t="shared" si="39"/>
        <v>1645.097166847394</v>
      </c>
      <c r="L130" s="199">
        <f>K130*'Grid Power'!K57</f>
        <v>1214.9511117492084</v>
      </c>
      <c r="M130" s="214">
        <f t="shared" si="40"/>
        <v>40</v>
      </c>
      <c r="N130" s="191">
        <f>PMT(Constants!$D$21,M130,-NPV(Constants!$D$21,$J$91:L130))+Configurations!$D$38/M130</f>
        <v>438.40648019475157</v>
      </c>
      <c r="O130" s="212">
        <f t="shared" si="41"/>
        <v>438.40648019475157</v>
      </c>
    </row>
  </sheetData>
  <mergeCells count="42">
    <mergeCell ref="W41:Y41"/>
    <mergeCell ref="B20:B23"/>
    <mergeCell ref="I42:I43"/>
    <mergeCell ref="H86:N86"/>
    <mergeCell ref="H87:L87"/>
    <mergeCell ref="M87:N87"/>
    <mergeCell ref="H88:H89"/>
    <mergeCell ref="I88:I89"/>
    <mergeCell ref="J88:J89"/>
    <mergeCell ref="M88:M89"/>
    <mergeCell ref="AE15:AF15"/>
    <mergeCell ref="H40:AF40"/>
    <mergeCell ref="H41:H43"/>
    <mergeCell ref="I41:K41"/>
    <mergeCell ref="L41:O41"/>
    <mergeCell ref="P41:Q41"/>
    <mergeCell ref="R41:S41"/>
    <mergeCell ref="T41:V41"/>
    <mergeCell ref="H15:H17"/>
    <mergeCell ref="I15:K15"/>
    <mergeCell ref="L15:O15"/>
    <mergeCell ref="P15:Q15"/>
    <mergeCell ref="R15:S15"/>
    <mergeCell ref="T15:V15"/>
    <mergeCell ref="Z41:AB41"/>
    <mergeCell ref="AE41:AF41"/>
    <mergeCell ref="I16:I17"/>
    <mergeCell ref="B3:F3"/>
    <mergeCell ref="I4:K4"/>
    <mergeCell ref="L4:O4"/>
    <mergeCell ref="P4:Q4"/>
    <mergeCell ref="H14:AF14"/>
    <mergeCell ref="R4:S4"/>
    <mergeCell ref="T4:V4"/>
    <mergeCell ref="W4:Y4"/>
    <mergeCell ref="Z4:AB4"/>
    <mergeCell ref="H3:AF3"/>
    <mergeCell ref="H4:H6"/>
    <mergeCell ref="AE4:AF4"/>
    <mergeCell ref="I5:I6"/>
    <mergeCell ref="W15:Y15"/>
    <mergeCell ref="Z15:AB1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Constants</vt:lpstr>
      <vt:lpstr>Configurations</vt:lpstr>
      <vt:lpstr>Grid Power</vt:lpstr>
      <vt:lpstr>Weather</vt:lpstr>
      <vt:lpstr>Consumption</vt:lpstr>
      <vt:lpstr>Incentives</vt:lpstr>
      <vt:lpstr>Analysis (Nothing)</vt:lpstr>
      <vt:lpstr>Analysis (A)</vt:lpstr>
      <vt:lpstr>Analysis (B)</vt:lpstr>
      <vt:lpstr>Analysis (C)</vt:lpstr>
      <vt:lpstr>Sources</vt:lpstr>
      <vt:lpstr>'Analysis 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2018-08-13T15:26:59Z</dcterms:created>
  <dcterms:modified xsi:type="dcterms:W3CDTF">2018-08-17T07:50:47Z</dcterms:modified>
</cp:coreProperties>
</file>