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5dff752d5d1d42c6/Dokumente/Studium/UniLu/Masterarbeit 2/Masterthesis/dataAnalysis/tables/monetaryFactors/"/>
    </mc:Choice>
  </mc:AlternateContent>
  <xr:revisionPtr revIDLastSave="270" documentId="11_F25DC773A252ABDACC1048C1511B59885ADE58EC" xr6:coauthVersionLast="47" xr6:coauthVersionMax="47" xr10:uidLastSave="{D71C6FA8-D6A3-4376-9E19-303464D81D07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G9" i="1"/>
  <c r="G2" i="1"/>
  <c r="E9" i="1"/>
  <c r="E7" i="1"/>
  <c r="E3" i="1"/>
  <c r="E4" i="1"/>
  <c r="E5" i="1"/>
  <c r="E6" i="1"/>
  <c r="E8" i="1"/>
  <c r="G8" i="1" s="1"/>
  <c r="E10" i="1"/>
  <c r="E11" i="1"/>
  <c r="E12" i="1"/>
  <c r="E13" i="1"/>
  <c r="E14" i="1"/>
  <c r="E15" i="1"/>
  <c r="G15" i="1" s="1"/>
  <c r="G5" i="1"/>
  <c r="G11" i="1"/>
  <c r="G12" i="1"/>
  <c r="G13" i="1"/>
  <c r="E2" i="1"/>
  <c r="G4" i="1"/>
  <c r="J15" i="1"/>
  <c r="I15" i="1"/>
  <c r="H15" i="1"/>
  <c r="K15" i="1" s="1"/>
  <c r="F15" i="1"/>
  <c r="I14" i="1"/>
  <c r="H14" i="1"/>
  <c r="J14" i="1" s="1"/>
  <c r="F14" i="1"/>
  <c r="G14" i="1" s="1"/>
  <c r="F7" i="1"/>
  <c r="G7" i="1" s="1"/>
  <c r="I13" i="1"/>
  <c r="H13" i="1"/>
  <c r="J13" i="1" s="1"/>
  <c r="F13" i="1"/>
  <c r="I12" i="1"/>
  <c r="J12" i="1" s="1"/>
  <c r="H12" i="1"/>
  <c r="F12" i="1"/>
  <c r="I11" i="1"/>
  <c r="H11" i="1"/>
  <c r="J11" i="1" s="1"/>
  <c r="F11" i="1"/>
  <c r="I10" i="1"/>
  <c r="H10" i="1"/>
  <c r="J10" i="1" s="1"/>
  <c r="F10" i="1"/>
  <c r="I9" i="1"/>
  <c r="H9" i="1"/>
  <c r="F9" i="1"/>
  <c r="J8" i="1"/>
  <c r="I8" i="1"/>
  <c r="H8" i="1"/>
  <c r="K8" i="1" s="1"/>
  <c r="F8" i="1"/>
  <c r="I7" i="1"/>
  <c r="H7" i="1"/>
  <c r="I6" i="1"/>
  <c r="H6" i="1"/>
  <c r="F6" i="1"/>
  <c r="G6" i="1" s="1"/>
  <c r="I5" i="1"/>
  <c r="H5" i="1"/>
  <c r="K5" i="1" s="1"/>
  <c r="F5" i="1"/>
  <c r="I4" i="1"/>
  <c r="H4" i="1"/>
  <c r="F4" i="1"/>
  <c r="F2" i="1"/>
  <c r="I3" i="1"/>
  <c r="H3" i="1"/>
  <c r="I2" i="1"/>
  <c r="H2" i="1"/>
  <c r="F3" i="1"/>
  <c r="G3" i="1" s="1"/>
  <c r="G10" i="1" l="1"/>
  <c r="K13" i="1"/>
  <c r="J4" i="1"/>
  <c r="K7" i="1"/>
  <c r="K9" i="1"/>
  <c r="K12" i="1"/>
  <c r="K10" i="1"/>
  <c r="J3" i="1"/>
  <c r="J5" i="1"/>
  <c r="J7" i="1"/>
  <c r="K3" i="1"/>
  <c r="J9" i="1"/>
  <c r="J2" i="1"/>
  <c r="K4" i="1"/>
  <c r="K11" i="1"/>
  <c r="K14" i="1"/>
  <c r="J6" i="1"/>
  <c r="K6" i="1"/>
</calcChain>
</file>

<file path=xl/sharedStrings.xml><?xml version="1.0" encoding="utf-8"?>
<sst xmlns="http://schemas.openxmlformats.org/spreadsheetml/2006/main" count="39" uniqueCount="30">
  <si>
    <t>team</t>
  </si>
  <si>
    <t>ZSC Lions</t>
  </si>
  <si>
    <t>SCL Tigers</t>
  </si>
  <si>
    <t>SC Rapperswil-Jona Lakers</t>
  </si>
  <si>
    <t>SC Bern</t>
  </si>
  <si>
    <t>Lausanne HC</t>
  </si>
  <si>
    <t>HC Lugano</t>
  </si>
  <si>
    <t xml:space="preserve">HC Davos </t>
  </si>
  <si>
    <t>HC Ambri-Piotta</t>
  </si>
  <si>
    <t>HC Ajoie</t>
  </si>
  <si>
    <t>Genève-Servette HC</t>
  </si>
  <si>
    <t>Fribourg-Gottéron</t>
  </si>
  <si>
    <t>EV Zug</t>
  </si>
  <si>
    <t>EHC Kloten</t>
  </si>
  <si>
    <t>EHC Biel-Bienne</t>
  </si>
  <si>
    <t>teamBudgets_t</t>
  </si>
  <si>
    <t>homeGames_t-1</t>
  </si>
  <si>
    <t>avgGameRevenue_t-1</t>
  </si>
  <si>
    <t>avgWinningPercentage_t-1</t>
  </si>
  <si>
    <t>wins_t-1</t>
  </si>
  <si>
    <t>losses_t-1</t>
  </si>
  <si>
    <t>t</t>
  </si>
  <si>
    <t>2018/2019</t>
  </si>
  <si>
    <t>2019/2020</t>
  </si>
  <si>
    <t>games_t-1</t>
  </si>
  <si>
    <t>2016/2017</t>
  </si>
  <si>
    <t>2017/2018</t>
  </si>
  <si>
    <t>2021/2022</t>
  </si>
  <si>
    <t>teamBudgetLessBroadcasting_t</t>
  </si>
  <si>
    <t>broadcastingRevenue_t-1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</si>
</sst>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topLeftCell="B1" workbookViewId="0">
      <selection activeCell="K3" sqref="K3"/>
    </sheetView>
  </sheetViews>
  <sheetFormatPr defaultRowHeight="14.5" x14ac:dyDescent="0.35"/>
  <cols>
    <col min="1" max="2" width="24.1796875" customWidth="1"/>
    <col min="3" max="3" width="15.08984375" customWidth="1"/>
    <col min="4" max="4" width="25.90625" customWidth="1"/>
    <col min="5" max="5" width="31.81640625" customWidth="1"/>
    <col min="6" max="6" width="17.453125" customWidth="1"/>
    <col min="7" max="7" width="20.1796875" customWidth="1"/>
    <col min="8" max="8" width="8.81640625" customWidth="1"/>
    <col min="9" max="9" width="9.6328125" customWidth="1"/>
    <col min="10" max="10" width="9.7265625" customWidth="1"/>
    <col min="11" max="11" width="25.26953125" customWidth="1"/>
  </cols>
  <sheetData>
    <row r="1" spans="1:11" x14ac:dyDescent="0.35">
      <c r="A1" t="s">
        <v>0</v>
      </c>
      <c r="B1" t="s">
        <v>21</v>
      </c>
      <c r="C1" t="s">
        <v>15</v>
      </c>
      <c r="D1" t="s">
        <v>29</v>
      </c>
      <c r="E1" t="s">
        <v>28</v>
      </c>
      <c r="F1" t="s">
        <v>16</v>
      </c>
      <c r="G1" t="s">
        <v>17</v>
      </c>
      <c r="H1" t="s">
        <v>19</v>
      </c>
      <c r="I1" t="s">
        <v>20</v>
      </c>
      <c r="J1" t="s">
        <v>24</v>
      </c>
      <c r="K1" t="s">
        <v>18</v>
      </c>
    </row>
    <row r="2" spans="1:11" x14ac:dyDescent="0.35">
      <c r="A2" t="s">
        <v>1</v>
      </c>
      <c r="B2" t="s">
        <v>22</v>
      </c>
      <c r="C2">
        <v>16700000</v>
      </c>
      <c r="D2">
        <v>1450000</v>
      </c>
      <c r="E2">
        <f>C2-D2</f>
        <v>15250000</v>
      </c>
      <c r="F2">
        <f>25+2+3+3</f>
        <v>33</v>
      </c>
      <c r="G2" s="2">
        <f>E2/F2</f>
        <v>462121.2121212121</v>
      </c>
      <c r="H2" s="2">
        <f>25+4+4+4</f>
        <v>37</v>
      </c>
      <c r="I2" s="2">
        <f>25+1+2+3</f>
        <v>31</v>
      </c>
      <c r="J2" s="2">
        <f t="shared" ref="J2:J15" si="0">H2+I2</f>
        <v>68</v>
      </c>
      <c r="K2" s="1">
        <f>H2/(H2+I2)</f>
        <v>0.54411764705882348</v>
      </c>
    </row>
    <row r="3" spans="1:11" x14ac:dyDescent="0.35">
      <c r="A3" t="s">
        <v>2</v>
      </c>
      <c r="B3" t="s">
        <v>22</v>
      </c>
      <c r="C3">
        <v>6500000</v>
      </c>
      <c r="D3">
        <v>1450000</v>
      </c>
      <c r="E3">
        <f t="shared" ref="E3:E15" si="1">C3-D3</f>
        <v>5050000</v>
      </c>
      <c r="F3">
        <f>25+3</f>
        <v>28</v>
      </c>
      <c r="G3" s="2">
        <f>E3/F3</f>
        <v>180357.14285714287</v>
      </c>
      <c r="H3" s="2">
        <f>23+4</f>
        <v>27</v>
      </c>
      <c r="I3" s="2">
        <f>27+2</f>
        <v>29</v>
      </c>
      <c r="J3" s="2">
        <f t="shared" si="0"/>
        <v>56</v>
      </c>
      <c r="K3" s="1">
        <f t="shared" ref="K2:K15" si="2">H3/(H3+I3)</f>
        <v>0.48214285714285715</v>
      </c>
    </row>
    <row r="4" spans="1:11" x14ac:dyDescent="0.35">
      <c r="A4" t="s">
        <v>3</v>
      </c>
      <c r="B4" t="s">
        <v>23</v>
      </c>
      <c r="C4">
        <v>11000000</v>
      </c>
      <c r="D4">
        <v>1450000</v>
      </c>
      <c r="E4">
        <f t="shared" si="1"/>
        <v>9550000</v>
      </c>
      <c r="F4">
        <f>25+3+2</f>
        <v>30</v>
      </c>
      <c r="G4" s="2">
        <f t="shared" ref="G4:G15" si="3">E4/F4</f>
        <v>318333.33333333331</v>
      </c>
      <c r="H4" s="2">
        <f>10+4+1</f>
        <v>15</v>
      </c>
      <c r="I4" s="2">
        <f>40+2+4</f>
        <v>46</v>
      </c>
      <c r="J4" s="2">
        <f t="shared" si="0"/>
        <v>61</v>
      </c>
      <c r="K4" s="1">
        <f t="shared" si="2"/>
        <v>0.24590163934426229</v>
      </c>
    </row>
    <row r="5" spans="1:11" x14ac:dyDescent="0.35">
      <c r="A5" t="s">
        <v>4</v>
      </c>
      <c r="B5" t="s">
        <v>26</v>
      </c>
      <c r="C5">
        <v>15000000</v>
      </c>
      <c r="D5">
        <v>1450000</v>
      </c>
      <c r="E5">
        <f t="shared" si="1"/>
        <v>13550000</v>
      </c>
      <c r="F5">
        <f>25+3+3+3</f>
        <v>34</v>
      </c>
      <c r="G5" s="2">
        <f t="shared" si="3"/>
        <v>398529.4117647059</v>
      </c>
      <c r="H5" s="2">
        <f>37+4+4+4</f>
        <v>49</v>
      </c>
      <c r="I5" s="2">
        <f>13+1+1+2</f>
        <v>17</v>
      </c>
      <c r="J5" s="2">
        <f t="shared" si="0"/>
        <v>66</v>
      </c>
      <c r="K5" s="1">
        <f t="shared" si="2"/>
        <v>0.74242424242424243</v>
      </c>
    </row>
    <row r="6" spans="1:11" x14ac:dyDescent="0.35">
      <c r="A6" t="s">
        <v>5</v>
      </c>
      <c r="B6" t="s">
        <v>22</v>
      </c>
      <c r="C6">
        <v>15000000</v>
      </c>
      <c r="D6">
        <v>1450000</v>
      </c>
      <c r="E6">
        <f t="shared" si="1"/>
        <v>13550000</v>
      </c>
      <c r="F6">
        <f>25+3</f>
        <v>28</v>
      </c>
      <c r="G6" s="2">
        <f t="shared" si="3"/>
        <v>483928.57142857142</v>
      </c>
      <c r="H6" s="2">
        <f>19+4</f>
        <v>23</v>
      </c>
      <c r="I6" s="2">
        <f>31+2</f>
        <v>33</v>
      </c>
      <c r="J6" s="2">
        <f t="shared" si="0"/>
        <v>56</v>
      </c>
      <c r="K6" s="1">
        <f t="shared" si="2"/>
        <v>0.4107142857142857</v>
      </c>
    </row>
    <row r="7" spans="1:11" x14ac:dyDescent="0.35">
      <c r="A7" t="s">
        <v>6</v>
      </c>
      <c r="B7" t="s">
        <v>22</v>
      </c>
      <c r="C7">
        <v>15000000</v>
      </c>
      <c r="D7">
        <v>1450000</v>
      </c>
      <c r="E7">
        <f>C7-D7</f>
        <v>13550000</v>
      </c>
      <c r="F7">
        <f>25+3+3+4</f>
        <v>35</v>
      </c>
      <c r="G7" s="2">
        <f t="shared" si="3"/>
        <v>387142.85714285716</v>
      </c>
      <c r="H7" s="2">
        <f>29+4+4+3</f>
        <v>40</v>
      </c>
      <c r="I7" s="2">
        <f>21+1+2+4</f>
        <v>28</v>
      </c>
      <c r="J7" s="2">
        <f t="shared" si="0"/>
        <v>68</v>
      </c>
      <c r="K7" s="1">
        <f t="shared" si="2"/>
        <v>0.58823529411764708</v>
      </c>
    </row>
    <row r="8" spans="1:11" x14ac:dyDescent="0.35">
      <c r="A8" t="s">
        <v>7</v>
      </c>
      <c r="B8" t="s">
        <v>22</v>
      </c>
      <c r="C8">
        <v>8300000</v>
      </c>
      <c r="D8">
        <v>1450000</v>
      </c>
      <c r="E8">
        <f t="shared" si="1"/>
        <v>6850000</v>
      </c>
      <c r="F8">
        <f>25+3</f>
        <v>28</v>
      </c>
      <c r="G8" s="2">
        <f t="shared" si="3"/>
        <v>244642.85714285713</v>
      </c>
      <c r="H8" s="2">
        <f>24+2</f>
        <v>26</v>
      </c>
      <c r="I8" s="2">
        <f>26+4</f>
        <v>30</v>
      </c>
      <c r="J8" s="2">
        <f t="shared" si="0"/>
        <v>56</v>
      </c>
      <c r="K8" s="1">
        <f t="shared" si="2"/>
        <v>0.4642857142857143</v>
      </c>
    </row>
    <row r="9" spans="1:11" x14ac:dyDescent="0.35">
      <c r="A9" t="s">
        <v>8</v>
      </c>
      <c r="B9" t="s">
        <v>22</v>
      </c>
      <c r="C9">
        <v>8000000</v>
      </c>
      <c r="D9">
        <v>1450000</v>
      </c>
      <c r="E9">
        <f>C9-D9</f>
        <v>6550000</v>
      </c>
      <c r="F9">
        <f>25+3+3</f>
        <v>31</v>
      </c>
      <c r="G9" s="2">
        <f>E9/F9</f>
        <v>211290.32258064515</v>
      </c>
      <c r="H9" s="2">
        <f>19+3+4</f>
        <v>26</v>
      </c>
      <c r="I9" s="2">
        <f>31+3+1</f>
        <v>35</v>
      </c>
      <c r="J9" s="2">
        <f t="shared" si="0"/>
        <v>61</v>
      </c>
      <c r="K9" s="1">
        <f t="shared" si="2"/>
        <v>0.42622950819672129</v>
      </c>
    </row>
    <row r="10" spans="1:11" x14ac:dyDescent="0.35">
      <c r="A10" t="s">
        <v>9</v>
      </c>
      <c r="B10" t="s">
        <v>27</v>
      </c>
      <c r="C10">
        <v>7100000</v>
      </c>
      <c r="D10">
        <v>1450000</v>
      </c>
      <c r="E10">
        <f t="shared" si="1"/>
        <v>5650000</v>
      </c>
      <c r="F10">
        <f>26</f>
        <v>26</v>
      </c>
      <c r="G10" s="2">
        <f t="shared" si="3"/>
        <v>217307.69230769231</v>
      </c>
      <c r="H10" s="2">
        <f>9</f>
        <v>9</v>
      </c>
      <c r="I10" s="2">
        <f>42</f>
        <v>42</v>
      </c>
      <c r="J10" s="2">
        <f t="shared" si="0"/>
        <v>51</v>
      </c>
      <c r="K10" s="1">
        <f t="shared" si="2"/>
        <v>0.17647058823529413</v>
      </c>
    </row>
    <row r="11" spans="1:11" x14ac:dyDescent="0.35">
      <c r="A11" t="s">
        <v>10</v>
      </c>
      <c r="B11" t="s">
        <v>22</v>
      </c>
      <c r="C11">
        <v>14000000</v>
      </c>
      <c r="D11">
        <v>1450000</v>
      </c>
      <c r="E11">
        <f t="shared" si="1"/>
        <v>12550000</v>
      </c>
      <c r="F11">
        <f>25+2</f>
        <v>27</v>
      </c>
      <c r="G11" s="2">
        <f t="shared" si="3"/>
        <v>464814.81481481483</v>
      </c>
      <c r="H11" s="2">
        <f>24+1</f>
        <v>25</v>
      </c>
      <c r="I11" s="2">
        <f>26+4</f>
        <v>30</v>
      </c>
      <c r="J11" s="2">
        <f t="shared" si="0"/>
        <v>55</v>
      </c>
      <c r="K11" s="1">
        <f t="shared" si="2"/>
        <v>0.45454545454545453</v>
      </c>
    </row>
    <row r="12" spans="1:11" x14ac:dyDescent="0.35">
      <c r="A12" t="s">
        <v>11</v>
      </c>
      <c r="B12" t="s">
        <v>22</v>
      </c>
      <c r="C12">
        <v>12700000</v>
      </c>
      <c r="D12">
        <v>1450000</v>
      </c>
      <c r="E12">
        <f t="shared" si="1"/>
        <v>11250000</v>
      </c>
      <c r="F12">
        <f>25+2</f>
        <v>27</v>
      </c>
      <c r="G12" s="2">
        <f t="shared" si="3"/>
        <v>416666.66666666669</v>
      </c>
      <c r="H12" s="2">
        <f>25+1</f>
        <v>26</v>
      </c>
      <c r="I12" s="2">
        <f>25+4</f>
        <v>29</v>
      </c>
      <c r="J12" s="2">
        <f t="shared" si="0"/>
        <v>55</v>
      </c>
      <c r="K12" s="1">
        <f t="shared" si="2"/>
        <v>0.47272727272727272</v>
      </c>
    </row>
    <row r="13" spans="1:11" x14ac:dyDescent="0.35">
      <c r="A13" t="s">
        <v>12</v>
      </c>
      <c r="B13" t="s">
        <v>22</v>
      </c>
      <c r="C13">
        <v>18400000</v>
      </c>
      <c r="D13">
        <v>1450000</v>
      </c>
      <c r="E13">
        <f t="shared" si="1"/>
        <v>16950000</v>
      </c>
      <c r="F13">
        <f>25+3</f>
        <v>28</v>
      </c>
      <c r="G13" s="2">
        <f t="shared" si="3"/>
        <v>605357.14285714284</v>
      </c>
      <c r="H13" s="2">
        <f>33+1</f>
        <v>34</v>
      </c>
      <c r="I13" s="2">
        <f>17+4</f>
        <v>21</v>
      </c>
      <c r="J13" s="2">
        <f t="shared" si="0"/>
        <v>55</v>
      </c>
      <c r="K13" s="1">
        <f t="shared" si="2"/>
        <v>0.61818181818181817</v>
      </c>
    </row>
    <row r="14" spans="1:11" x14ac:dyDescent="0.35">
      <c r="A14" t="s">
        <v>13</v>
      </c>
      <c r="B14" t="s">
        <v>26</v>
      </c>
      <c r="C14">
        <v>8600000</v>
      </c>
      <c r="D14">
        <v>1450000</v>
      </c>
      <c r="E14">
        <f t="shared" si="1"/>
        <v>7150000</v>
      </c>
      <c r="F14">
        <f>25+3</f>
        <v>28</v>
      </c>
      <c r="G14" s="2">
        <f t="shared" si="3"/>
        <v>255357.14285714287</v>
      </c>
      <c r="H14" s="2">
        <f>19+2</f>
        <v>21</v>
      </c>
      <c r="I14" s="2">
        <f>31+4</f>
        <v>35</v>
      </c>
      <c r="J14" s="2">
        <f t="shared" si="0"/>
        <v>56</v>
      </c>
      <c r="K14" s="1">
        <f t="shared" si="2"/>
        <v>0.375</v>
      </c>
    </row>
    <row r="15" spans="1:11" x14ac:dyDescent="0.35">
      <c r="A15" t="s">
        <v>14</v>
      </c>
      <c r="B15" t="s">
        <v>25</v>
      </c>
      <c r="C15">
        <v>10400000</v>
      </c>
      <c r="D15">
        <v>1450000</v>
      </c>
      <c r="E15">
        <f t="shared" si="1"/>
        <v>8950000</v>
      </c>
      <c r="F15">
        <f>25+3+3</f>
        <v>31</v>
      </c>
      <c r="G15" s="2">
        <f t="shared" si="3"/>
        <v>288709.67741935485</v>
      </c>
      <c r="H15" s="2">
        <f>16+5+2</f>
        <v>23</v>
      </c>
      <c r="I15" s="2">
        <f>33+1+4</f>
        <v>38</v>
      </c>
      <c r="J15" s="2">
        <f t="shared" si="0"/>
        <v>61</v>
      </c>
      <c r="K15" s="1">
        <f t="shared" si="2"/>
        <v>0.37704918032786883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Flurin Stiffler</dc:creator>
  <cp:lastModifiedBy>Flurin Stiffler</cp:lastModifiedBy>
  <dcterms:created xsi:type="dcterms:W3CDTF">2015-06-05T18:17:20Z</dcterms:created>
  <dcterms:modified xsi:type="dcterms:W3CDTF">2022-09-20T09:31:40Z</dcterms:modified>
</cp:coreProperties>
</file>