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yden/github/spltsecond/centerstage/"/>
    </mc:Choice>
  </mc:AlternateContent>
  <xr:revisionPtr revIDLastSave="0" documentId="13_ncr:1_{5FED9AA3-578A-864A-8D62-C56745C09D17}" xr6:coauthVersionLast="47" xr6:coauthVersionMax="47" xr10:uidLastSave="{00000000-0000-0000-0000-000000000000}"/>
  <bookViews>
    <workbookView xWindow="1460" yWindow="920" windowWidth="30700" windowHeight="18740" xr2:uid="{BF8CEC81-BBDC-B64F-A023-730BE764C7A9}"/>
  </bookViews>
  <sheets>
    <sheet name="Collected Data" sheetId="1" r:id="rId1"/>
    <sheet name="Calcs" sheetId="2" r:id="rId2"/>
    <sheet name="friction" sheetId="6" r:id="rId3"/>
  </sheets>
  <definedNames>
    <definedName name="Acoeff">Calcs!$B$8</definedName>
    <definedName name="Bcoeff">Calcs!$B$9</definedName>
    <definedName name="Ccoeff">Calcs!$B$10</definedName>
    <definedName name="g">'Collected Data'!$B$3</definedName>
    <definedName name="gearRatio">Calcs!$B$40</definedName>
    <definedName name="kinetic">friction!$B$3</definedName>
    <definedName name="kstatic">friction!$B$2</definedName>
    <definedName name="mass1">Calcs!$B$3</definedName>
    <definedName name="mass1r">Calcs!#REF!</definedName>
    <definedName name="mass2">Calcs!$B$4</definedName>
    <definedName name="mass2r">Calcs!#REF!</definedName>
    <definedName name="mass3">Calcs!$B$5</definedName>
    <definedName name="mass3r">Calcs!#REF!</definedName>
    <definedName name="massTotal">Calcs!$B$6</definedName>
    <definedName name="motoKt">Calcs!$B$41</definedName>
    <definedName name="motorR">Calcs!$B$39</definedName>
    <definedName name="power">friction!$B$6</definedName>
    <definedName name="solver_adj" localSheetId="1" hidden="1">Calcs!$B$3:$C$5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Calcs!$C$3</definedName>
    <definedName name="solver_lhs2" localSheetId="1" hidden="1">Calcs!$C$4</definedName>
    <definedName name="solver_lhs3" localSheetId="1" hidden="1">Calcs!$C$5</definedName>
    <definedName name="solver_lhs4" localSheetId="1" hidden="1">Calcs!$B$4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Calcs!$F$36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hs1" localSheetId="1" hidden="1">0.25</definedName>
    <definedName name="solver_rhs2" localSheetId="1" hidden="1">0.5</definedName>
    <definedName name="solver_rhs3" localSheetId="1" hidden="1">0.8</definedName>
    <definedName name="solver_rhs4" localSheetId="1" hidden="1">mass1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2</definedName>
    <definedName name="threshold">friction!$B$4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6" l="1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9" i="6"/>
  <c r="L21" i="2"/>
  <c r="N21" i="2" s="1"/>
  <c r="B39" i="2"/>
  <c r="B40" i="2"/>
  <c r="B44" i="2"/>
  <c r="B41" i="2" s="1"/>
  <c r="L22" i="2" s="1"/>
  <c r="N22" i="2" s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13" i="2"/>
  <c r="E6" i="2"/>
  <c r="F4" i="2"/>
  <c r="G4" i="2" s="1"/>
  <c r="F5" i="2"/>
  <c r="G5" i="2" s="1"/>
  <c r="F3" i="2"/>
  <c r="G3" i="2" s="1"/>
  <c r="B6" i="2"/>
  <c r="L11" i="1"/>
  <c r="H11" i="1"/>
  <c r="I11" i="1"/>
  <c r="M11" i="1" s="1"/>
  <c r="R11" i="1" s="1"/>
  <c r="J11" i="1"/>
  <c r="N11" i="1" s="1"/>
  <c r="Q11" i="1" s="1"/>
  <c r="K11" i="1"/>
  <c r="I10" i="1"/>
  <c r="J10" i="1"/>
  <c r="K10" i="1"/>
  <c r="H10" i="1"/>
  <c r="G11" i="1"/>
  <c r="O11" i="1" s="1"/>
  <c r="G10" i="1"/>
  <c r="O10" i="1" s="1"/>
  <c r="S11" i="1" l="1"/>
  <c r="P11" i="1"/>
  <c r="D35" i="2" s="1"/>
  <c r="N10" i="1"/>
  <c r="Q10" i="1" s="1"/>
  <c r="M10" i="1"/>
  <c r="L28" i="2"/>
  <c r="N28" i="2" s="1"/>
  <c r="L18" i="2"/>
  <c r="N18" i="2" s="1"/>
  <c r="L35" i="2"/>
  <c r="N35" i="2" s="1"/>
  <c r="L25" i="2"/>
  <c r="N25" i="2" s="1"/>
  <c r="L15" i="2"/>
  <c r="N15" i="2" s="1"/>
  <c r="L32" i="2"/>
  <c r="N32" i="2" s="1"/>
  <c r="L34" i="2"/>
  <c r="N34" i="2" s="1"/>
  <c r="L24" i="2"/>
  <c r="N24" i="2" s="1"/>
  <c r="L14" i="2"/>
  <c r="N14" i="2" s="1"/>
  <c r="L33" i="2"/>
  <c r="N33" i="2" s="1"/>
  <c r="L23" i="2"/>
  <c r="N23" i="2" s="1"/>
  <c r="L10" i="1"/>
  <c r="L30" i="2"/>
  <c r="N30" i="2" s="1"/>
  <c r="L29" i="2"/>
  <c r="N29" i="2" s="1"/>
  <c r="L19" i="2"/>
  <c r="N19" i="2" s="1"/>
  <c r="B50" i="2"/>
  <c r="B51" i="2" s="1"/>
  <c r="L31" i="2"/>
  <c r="N31" i="2" s="1"/>
  <c r="L20" i="2"/>
  <c r="N20" i="2" s="1"/>
  <c r="L27" i="2"/>
  <c r="N27" i="2" s="1"/>
  <c r="L17" i="2"/>
  <c r="N17" i="2" s="1"/>
  <c r="L13" i="2"/>
  <c r="N13" i="2" s="1"/>
  <c r="L26" i="2"/>
  <c r="N26" i="2" s="1"/>
  <c r="L16" i="2"/>
  <c r="N16" i="2" s="1"/>
  <c r="F6" i="2"/>
  <c r="C6" i="2" s="1"/>
  <c r="B9" i="2"/>
  <c r="B8" i="2"/>
  <c r="R10" i="1" l="1"/>
  <c r="P10" i="1"/>
  <c r="Q14" i="1"/>
  <c r="Q13" i="1"/>
  <c r="S10" i="1"/>
  <c r="G6" i="2"/>
  <c r="B10" i="2" s="1"/>
  <c r="C19" i="2" s="1"/>
  <c r="D13" i="2" l="1"/>
  <c r="P14" i="1"/>
  <c r="P13" i="1"/>
  <c r="G19" i="2"/>
  <c r="E19" i="2"/>
  <c r="C20" i="2"/>
  <c r="C29" i="2"/>
  <c r="C14" i="2"/>
  <c r="C28" i="2"/>
  <c r="C27" i="2"/>
  <c r="C13" i="2"/>
  <c r="C21" i="2"/>
  <c r="C18" i="2"/>
  <c r="C17" i="2"/>
  <c r="C25" i="2"/>
  <c r="C33" i="2"/>
  <c r="C16" i="2"/>
  <c r="C26" i="2"/>
  <c r="C35" i="2"/>
  <c r="C24" i="2"/>
  <c r="C15" i="2"/>
  <c r="C32" i="2"/>
  <c r="C34" i="2"/>
  <c r="C22" i="2"/>
  <c r="C23" i="2"/>
  <c r="C31" i="2"/>
  <c r="C30" i="2"/>
  <c r="H19" i="2" l="1"/>
  <c r="K19" i="2"/>
  <c r="M19" i="2" s="1"/>
  <c r="J19" i="2"/>
  <c r="I19" i="2"/>
  <c r="G14" i="2"/>
  <c r="E14" i="2"/>
  <c r="G18" i="2"/>
  <c r="E18" i="2"/>
  <c r="G34" i="2"/>
  <c r="E34" i="2"/>
  <c r="E21" i="2"/>
  <c r="G21" i="2"/>
  <c r="E13" i="2"/>
  <c r="F13" i="2" s="1"/>
  <c r="G13" i="2"/>
  <c r="G27" i="2"/>
  <c r="E27" i="2"/>
  <c r="G30" i="2"/>
  <c r="E30" i="2"/>
  <c r="G29" i="2"/>
  <c r="E29" i="2"/>
  <c r="E31" i="2"/>
  <c r="G31" i="2"/>
  <c r="E33" i="2"/>
  <c r="G33" i="2"/>
  <c r="G20" i="2"/>
  <c r="E20" i="2"/>
  <c r="E23" i="2"/>
  <c r="G23" i="2"/>
  <c r="G25" i="2"/>
  <c r="E25" i="2"/>
  <c r="E32" i="2"/>
  <c r="G32" i="2"/>
  <c r="G15" i="2"/>
  <c r="E15" i="2"/>
  <c r="G24" i="2"/>
  <c r="E24" i="2"/>
  <c r="E35" i="2"/>
  <c r="F35" i="2" s="1"/>
  <c r="G35" i="2"/>
  <c r="G28" i="2"/>
  <c r="E28" i="2"/>
  <c r="E26" i="2"/>
  <c r="G26" i="2"/>
  <c r="E16" i="2"/>
  <c r="G16" i="2"/>
  <c r="E22" i="2"/>
  <c r="G22" i="2"/>
  <c r="E17" i="2"/>
  <c r="G17" i="2"/>
  <c r="H29" i="2" l="1"/>
  <c r="K29" i="2"/>
  <c r="M29" i="2" s="1"/>
  <c r="H35" i="2"/>
  <c r="J35" i="2" s="1"/>
  <c r="K35" i="2"/>
  <c r="M35" i="2" s="1"/>
  <c r="H20" i="2"/>
  <c r="K20" i="2"/>
  <c r="M20" i="2" s="1"/>
  <c r="H34" i="2"/>
  <c r="J34" i="2" s="1"/>
  <c r="K34" i="2"/>
  <c r="M34" i="2" s="1"/>
  <c r="H30" i="2"/>
  <c r="J30" i="2" s="1"/>
  <c r="K30" i="2"/>
  <c r="M30" i="2" s="1"/>
  <c r="H22" i="2"/>
  <c r="K22" i="2"/>
  <c r="M22" i="2" s="1"/>
  <c r="H14" i="2"/>
  <c r="K14" i="2"/>
  <c r="M14" i="2" s="1"/>
  <c r="H16" i="2"/>
  <c r="K16" i="2"/>
  <c r="M16" i="2" s="1"/>
  <c r="H33" i="2"/>
  <c r="J33" i="2" s="1"/>
  <c r="K33" i="2"/>
  <c r="M33" i="2" s="1"/>
  <c r="H28" i="2"/>
  <c r="J28" i="2" s="1"/>
  <c r="K28" i="2"/>
  <c r="M28" i="2" s="1"/>
  <c r="H25" i="2"/>
  <c r="K25" i="2"/>
  <c r="M25" i="2" s="1"/>
  <c r="H17" i="2"/>
  <c r="K17" i="2"/>
  <c r="M17" i="2" s="1"/>
  <c r="H23" i="2"/>
  <c r="K23" i="2"/>
  <c r="M23" i="2" s="1"/>
  <c r="H18" i="2"/>
  <c r="K18" i="2"/>
  <c r="M18" i="2" s="1"/>
  <c r="H24" i="2"/>
  <c r="J24" i="2" s="1"/>
  <c r="K24" i="2"/>
  <c r="M24" i="2" s="1"/>
  <c r="H27" i="2"/>
  <c r="K27" i="2"/>
  <c r="M27" i="2" s="1"/>
  <c r="H13" i="2"/>
  <c r="K13" i="2"/>
  <c r="M13" i="2" s="1"/>
  <c r="H15" i="2"/>
  <c r="K15" i="2"/>
  <c r="M15" i="2" s="1"/>
  <c r="H26" i="2"/>
  <c r="J26" i="2" s="1"/>
  <c r="K26" i="2"/>
  <c r="M26" i="2" s="1"/>
  <c r="H32" i="2"/>
  <c r="J32" i="2" s="1"/>
  <c r="K32" i="2"/>
  <c r="M32" i="2" s="1"/>
  <c r="H31" i="2"/>
  <c r="K31" i="2"/>
  <c r="M31" i="2" s="1"/>
  <c r="H21" i="2"/>
  <c r="K21" i="2"/>
  <c r="M21" i="2" s="1"/>
  <c r="J18" i="2"/>
  <c r="I18" i="2"/>
  <c r="J29" i="2"/>
  <c r="I29" i="2"/>
  <c r="I35" i="2"/>
  <c r="J22" i="2"/>
  <c r="I22" i="2"/>
  <c r="J14" i="2"/>
  <c r="I14" i="2"/>
  <c r="I26" i="2"/>
  <c r="J31" i="2"/>
  <c r="I31" i="2"/>
  <c r="J23" i="2"/>
  <c r="I23" i="2"/>
  <c r="J20" i="2"/>
  <c r="I20" i="2"/>
  <c r="J16" i="2"/>
  <c r="I16" i="2"/>
  <c r="J13" i="2"/>
  <c r="I13" i="2"/>
  <c r="O13" i="2" s="1"/>
  <c r="J21" i="2"/>
  <c r="I21" i="2"/>
  <c r="J25" i="2"/>
  <c r="I25" i="2"/>
  <c r="J17" i="2"/>
  <c r="I17" i="2"/>
  <c r="J27" i="2"/>
  <c r="I27" i="2"/>
  <c r="J15" i="2"/>
  <c r="I15" i="2"/>
  <c r="F36" i="2"/>
  <c r="I34" i="2" l="1"/>
  <c r="I24" i="2"/>
  <c r="I30" i="2"/>
  <c r="I32" i="2"/>
  <c r="I33" i="2"/>
  <c r="I28" i="2"/>
</calcChain>
</file>

<file path=xl/sharedStrings.xml><?xml version="1.0" encoding="utf-8"?>
<sst xmlns="http://schemas.openxmlformats.org/spreadsheetml/2006/main" count="96" uniqueCount="73">
  <si>
    <t>weight (g)</t>
  </si>
  <si>
    <t>Measurement</t>
  </si>
  <si>
    <t>extension (in)</t>
  </si>
  <si>
    <t>min</t>
  </si>
  <si>
    <t>max</t>
  </si>
  <si>
    <t>claw 90 deg (in)</t>
  </si>
  <si>
    <t>claw 0 deg (out)</t>
  </si>
  <si>
    <t>weight (kg)</t>
  </si>
  <si>
    <t>extension (m)</t>
  </si>
  <si>
    <t>fully retracted</t>
  </si>
  <si>
    <t>fully extended</t>
  </si>
  <si>
    <t>Constants</t>
  </si>
  <si>
    <t>m/s^2</t>
  </si>
  <si>
    <t>g (acc due to gravity)</t>
  </si>
  <si>
    <t>claw in</t>
  </si>
  <si>
    <t>claw out</t>
  </si>
  <si>
    <t>ratio of ext</t>
  </si>
  <si>
    <t>rx (in)</t>
  </si>
  <si>
    <t>segment</t>
  </si>
  <si>
    <t>combined</t>
  </si>
  <si>
    <t>mass (kg)</t>
  </si>
  <si>
    <t>length (in)</t>
  </si>
  <si>
    <t>offest (in)</t>
  </si>
  <si>
    <t>com (in)</t>
  </si>
  <si>
    <t>com (% length)</t>
  </si>
  <si>
    <t>com (m)</t>
  </si>
  <si>
    <t>A</t>
  </si>
  <si>
    <t>B</t>
  </si>
  <si>
    <t>C</t>
  </si>
  <si>
    <t>SE</t>
  </si>
  <si>
    <t>Jt (moment)</t>
  </si>
  <si>
    <t>Motor Resistance</t>
  </si>
  <si>
    <t>Gear Ratio</t>
  </si>
  <si>
    <t>Torque Constant (kt)</t>
  </si>
  <si>
    <t>Stall Torque</t>
  </si>
  <si>
    <t>kg*cm</t>
  </si>
  <si>
    <t>N*m</t>
  </si>
  <si>
    <t>Stall Current</t>
  </si>
  <si>
    <t>Nominal Voltage</t>
  </si>
  <si>
    <t>V</t>
  </si>
  <si>
    <t>Ohms</t>
  </si>
  <si>
    <t>unitless</t>
  </si>
  <si>
    <t>N*m/A</t>
  </si>
  <si>
    <t>Kg (@ 0deg) Volts</t>
  </si>
  <si>
    <t>Current (A)</t>
  </si>
  <si>
    <t>Kg/Nom 12 V</t>
  </si>
  <si>
    <t>Estimated Torque Static</t>
  </si>
  <si>
    <t>Ks</t>
  </si>
  <si>
    <t>Volts</t>
  </si>
  <si>
    <t>Ks/Nom 12 V</t>
  </si>
  <si>
    <t>elbow torque (Nm)</t>
  </si>
  <si>
    <t>elbow torque from gravity (Nm)</t>
  </si>
  <si>
    <t>elbow torque from static friction (Nm)</t>
  </si>
  <si>
    <t>Elbow Torque (Nm)</t>
  </si>
  <si>
    <t>measured</t>
  </si>
  <si>
    <t>calculated</t>
  </si>
  <si>
    <t>rx (m)</t>
  </si>
  <si>
    <t>* at elbow</t>
  </si>
  <si>
    <t>b (viscous damping)</t>
  </si>
  <si>
    <t>N*m/ (m/s)</t>
  </si>
  <si>
    <t>Ka (V)</t>
  </si>
  <si>
    <t>Kv (V)</t>
  </si>
  <si>
    <t>Ka/Nom 12V</t>
  </si>
  <si>
    <t>Kv/Nom 12V</t>
  </si>
  <si>
    <t xml:space="preserve">Ks </t>
  </si>
  <si>
    <t xml:space="preserve">Kk </t>
  </si>
  <si>
    <t>static</t>
  </si>
  <si>
    <t>kinetic</t>
  </si>
  <si>
    <t>threshold</t>
  </si>
  <si>
    <t>rad/sec</t>
  </si>
  <si>
    <t>basePower</t>
  </si>
  <si>
    <t>motor power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</si>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</sst>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0.00000000"/>
    <numFmt numFmtId="168" formatCode="0.000000000"/>
    <numFmt numFmtId="169" formatCode="0.0"/>
    <numFmt numFmtId="170" formatCode="0.00000000000"/>
    <numFmt numFmtId="171" formatCode="_(* #,##0.0000_);_(* \(#,##0.0000\);_(* &quot;-&quot;??_);_(@_)"/>
    <numFmt numFmtId="172" formatCode="_(* #,##0.0000_);_(* \(#,##0.0000\);_(* &quot;-&quot;????_);_(@_)"/>
    <numFmt numFmtId="173" formatCode="_(* #,##0.000000_);_(* \(#,##0.000000\);_(* &quot;-&quot;????_);_(@_)"/>
    <numFmt numFmtId="174" formatCode="_(* #,##0.00000_);_(* \(#,##0.00000\);_(* &quot;-&quot;??_);_(@_)"/>
    <numFmt numFmtId="175" formatCode="_(* #,##0.000000_);_(* \(#,##0.0000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2" applyFont="1"/>
    <xf numFmtId="169" fontId="0" fillId="0" borderId="0" xfId="0" applyNumberFormat="1"/>
    <xf numFmtId="170" fontId="0" fillId="0" borderId="0" xfId="0" applyNumberFormat="1"/>
    <xf numFmtId="43" fontId="0" fillId="0" borderId="0" xfId="1" applyFont="1"/>
    <xf numFmtId="171" fontId="0" fillId="0" borderId="0" xfId="1" applyNumberFormat="1" applyFont="1"/>
    <xf numFmtId="172" fontId="0" fillId="0" borderId="0" xfId="0" applyNumberFormat="1"/>
    <xf numFmtId="43" fontId="0" fillId="0" borderId="0" xfId="0" applyNumberFormat="1"/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4" fontId="0" fillId="0" borderId="0" xfId="1" applyNumberFormat="1" applyFont="1"/>
    <xf numFmtId="166" fontId="2" fillId="2" borderId="1" xfId="3" applyNumberFormat="1"/>
    <xf numFmtId="9" fontId="2" fillId="2" borderId="1" xfId="3" applyNumberFormat="1"/>
    <xf numFmtId="0" fontId="0" fillId="0" borderId="0" xfId="0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Calcs!$C$12</c:f>
              <c:strCache>
                <c:ptCount val="1"/>
                <c:pt idx="0">
                  <c:v>com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82589676290462"/>
                  <c:y val="7.84146252551764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Calcs!$B$13:$B$35</c:f>
              <c:numCache>
                <c:formatCode>0.000</c:formatCode>
                <c:ptCount val="23"/>
                <c:pt idx="0">
                  <c:v>0</c:v>
                </c:pt>
                <c:pt idx="1">
                  <c:v>2.5399999999999999E-2</c:v>
                </c:pt>
                <c:pt idx="2">
                  <c:v>5.0799999999999998E-2</c:v>
                </c:pt>
                <c:pt idx="3">
                  <c:v>7.619999999999999E-2</c:v>
                </c:pt>
                <c:pt idx="4">
                  <c:v>0.1016</c:v>
                </c:pt>
                <c:pt idx="5">
                  <c:v>0.127</c:v>
                </c:pt>
                <c:pt idx="6">
                  <c:v>0.15239999999999998</c:v>
                </c:pt>
                <c:pt idx="7">
                  <c:v>0.17779999999999999</c:v>
                </c:pt>
                <c:pt idx="8">
                  <c:v>0.20319999999999999</c:v>
                </c:pt>
                <c:pt idx="9">
                  <c:v>0.2286</c:v>
                </c:pt>
                <c:pt idx="10">
                  <c:v>0.254</c:v>
                </c:pt>
                <c:pt idx="11">
                  <c:v>0.27939999999999998</c:v>
                </c:pt>
                <c:pt idx="12">
                  <c:v>0.30479999999999996</c:v>
                </c:pt>
                <c:pt idx="13">
                  <c:v>0.33019999999999999</c:v>
                </c:pt>
                <c:pt idx="14">
                  <c:v>0.35559999999999997</c:v>
                </c:pt>
                <c:pt idx="15">
                  <c:v>0.38100000000000001</c:v>
                </c:pt>
                <c:pt idx="16">
                  <c:v>0.40639999999999998</c:v>
                </c:pt>
                <c:pt idx="17">
                  <c:v>0.43179999999999996</c:v>
                </c:pt>
                <c:pt idx="18">
                  <c:v>0.4572</c:v>
                </c:pt>
                <c:pt idx="19">
                  <c:v>0.48259999999999997</c:v>
                </c:pt>
                <c:pt idx="20">
                  <c:v>0.50800000000000001</c:v>
                </c:pt>
                <c:pt idx="21">
                  <c:v>0.53339999999999999</c:v>
                </c:pt>
                <c:pt idx="22">
                  <c:v>0.55879999999999996</c:v>
                </c:pt>
              </c:numCache>
            </c:numRef>
          </c:xVal>
          <c:yVal>
            <c:numRef>
              <c:f>Calcs!$C$13:$C$35</c:f>
              <c:numCache>
                <c:formatCode>0.0000</c:formatCode>
                <c:ptCount val="23"/>
                <c:pt idx="0">
                  <c:v>0.2367204245942634</c:v>
                </c:pt>
                <c:pt idx="1">
                  <c:v>0.249166674661295</c:v>
                </c:pt>
                <c:pt idx="2">
                  <c:v>0.26155392893968649</c:v>
                </c:pt>
                <c:pt idx="3">
                  <c:v>0.27389019216858629</c:v>
                </c:pt>
                <c:pt idx="4">
                  <c:v>0.28618205853764378</c:v>
                </c:pt>
                <c:pt idx="5">
                  <c:v>0.29843501391740423</c:v>
                </c:pt>
                <c:pt idx="6">
                  <c:v>0.3106536625814329</c:v>
                </c:pt>
                <c:pt idx="7">
                  <c:v>0.32284189978838862</c:v>
                </c:pt>
                <c:pt idx="8">
                  <c:v>0.33500304488621113</c:v>
                </c:pt>
                <c:pt idx="9">
                  <c:v>0.34713994519131514</c:v>
                </c:pt>
                <c:pt idx="10">
                  <c:v>0.35925505793539697</c:v>
                </c:pt>
                <c:pt idx="11">
                  <c:v>0.3713505155472942</c:v>
                </c:pt>
                <c:pt idx="12">
                  <c:v>0.38342817812812952</c:v>
                </c:pt>
                <c:pt idx="13">
                  <c:v>0.3954896759820814</c:v>
                </c:pt>
                <c:pt idx="14">
                  <c:v>0.4075364443513077</c:v>
                </c:pt>
                <c:pt idx="15">
                  <c:v>0.41956975198522223</c:v>
                </c:pt>
                <c:pt idx="16">
                  <c:v>0.43159072479342614</c:v>
                </c:pt>
                <c:pt idx="17">
                  <c:v>0.44360036554857413</c:v>
                </c:pt>
                <c:pt idx="18">
                  <c:v>0.45559957039299537</c:v>
                </c:pt>
                <c:pt idx="19">
                  <c:v>0.46758914274186797</c:v>
                </c:pt>
                <c:pt idx="20">
                  <c:v>0.47956980505261965</c:v>
                </c:pt>
                <c:pt idx="21">
                  <c:v>0.49154220883529415</c:v>
                </c:pt>
                <c:pt idx="22">
                  <c:v>0.50350694320484979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D-5247-8912-2B35B9B3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0048"/>
        <c:axId val="2014918079"/>
      </c:scatterChart>
      <c:scatterChart>
        <c:scatterStyle val="smoothMarker"/>
        <c:varyColors val="0"/>
        <c:ser>
          <c:idx val="1"/>
          <c:order val="1"/>
          <c:tx>
            <c:strRef>
              <c:f>Calcs!$G$12</c:f>
              <c:strCache>
                <c:ptCount val="1"/>
                <c:pt idx="0">
                  <c:v>Jt (moment)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Calcs!$B$13:$B$35</c:f>
              <c:numCache>
                <c:formatCode>0.000</c:formatCode>
                <c:ptCount val="23"/>
                <c:pt idx="0">
                  <c:v>0</c:v>
                </c:pt>
                <c:pt idx="1">
                  <c:v>2.5399999999999999E-2</c:v>
                </c:pt>
                <c:pt idx="2">
                  <c:v>5.0799999999999998E-2</c:v>
                </c:pt>
                <c:pt idx="3">
                  <c:v>7.619999999999999E-2</c:v>
                </c:pt>
                <c:pt idx="4">
                  <c:v>0.1016</c:v>
                </c:pt>
                <c:pt idx="5">
                  <c:v>0.127</c:v>
                </c:pt>
                <c:pt idx="6">
                  <c:v>0.15239999999999998</c:v>
                </c:pt>
                <c:pt idx="7">
                  <c:v>0.17779999999999999</c:v>
                </c:pt>
                <c:pt idx="8">
                  <c:v>0.20319999999999999</c:v>
                </c:pt>
                <c:pt idx="9">
                  <c:v>0.2286</c:v>
                </c:pt>
                <c:pt idx="10">
                  <c:v>0.254</c:v>
                </c:pt>
                <c:pt idx="11">
                  <c:v>0.27939999999999998</c:v>
                </c:pt>
                <c:pt idx="12">
                  <c:v>0.30479999999999996</c:v>
                </c:pt>
                <c:pt idx="13">
                  <c:v>0.33019999999999999</c:v>
                </c:pt>
                <c:pt idx="14">
                  <c:v>0.35559999999999997</c:v>
                </c:pt>
                <c:pt idx="15">
                  <c:v>0.38100000000000001</c:v>
                </c:pt>
                <c:pt idx="16">
                  <c:v>0.40639999999999998</c:v>
                </c:pt>
                <c:pt idx="17">
                  <c:v>0.43179999999999996</c:v>
                </c:pt>
                <c:pt idx="18">
                  <c:v>0.4572</c:v>
                </c:pt>
                <c:pt idx="19">
                  <c:v>0.48259999999999997</c:v>
                </c:pt>
                <c:pt idx="20">
                  <c:v>0.50800000000000001</c:v>
                </c:pt>
                <c:pt idx="21">
                  <c:v>0.53339999999999999</c:v>
                </c:pt>
                <c:pt idx="22">
                  <c:v>0.55879999999999996</c:v>
                </c:pt>
              </c:numCache>
            </c:numRef>
          </c:xVal>
          <c:yVal>
            <c:numRef>
              <c:f>Calcs!$G$13:$G$35</c:f>
              <c:numCache>
                <c:formatCode>_(* #,##0.0000_);_(* \(#,##0.0000\);_(* "-"??_);_(@_)</c:formatCode>
                <c:ptCount val="23"/>
                <c:pt idx="0">
                  <c:v>3.4091697957827766E-2</c:v>
                </c:pt>
                <c:pt idx="1">
                  <c:v>3.7770878168291201E-2</c:v>
                </c:pt>
                <c:pt idx="2">
                  <c:v>4.1619769070294466E-2</c:v>
                </c:pt>
                <c:pt idx="3">
                  <c:v>4.5638370663837545E-2</c:v>
                </c:pt>
                <c:pt idx="4">
                  <c:v>4.9826682948920474E-2</c:v>
                </c:pt>
                <c:pt idx="5">
                  <c:v>5.4184705925543225E-2</c:v>
                </c:pt>
                <c:pt idx="6">
                  <c:v>5.8712439593705784E-2</c:v>
                </c:pt>
                <c:pt idx="7">
                  <c:v>6.34098839534082E-2</c:v>
                </c:pt>
                <c:pt idx="8">
                  <c:v>6.8277039004650431E-2</c:v>
                </c:pt>
                <c:pt idx="9">
                  <c:v>7.3313904747432504E-2</c:v>
                </c:pt>
                <c:pt idx="10">
                  <c:v>7.8520481181754392E-2</c:v>
                </c:pt>
                <c:pt idx="11">
                  <c:v>8.3896768307616096E-2</c:v>
                </c:pt>
                <c:pt idx="12">
                  <c:v>8.9442766125017642E-2</c:v>
                </c:pt>
                <c:pt idx="13">
                  <c:v>9.5158474633959045E-2</c:v>
                </c:pt>
                <c:pt idx="14">
                  <c:v>0.10104389383444028</c:v>
                </c:pt>
                <c:pt idx="15">
                  <c:v>0.10709902372646131</c:v>
                </c:pt>
                <c:pt idx="16">
                  <c:v>0.11332386431002214</c:v>
                </c:pt>
                <c:pt idx="17">
                  <c:v>0.11971841558512283</c:v>
                </c:pt>
                <c:pt idx="18">
                  <c:v>0.12628267755176337</c:v>
                </c:pt>
                <c:pt idx="19">
                  <c:v>0.13301665020994374</c:v>
                </c:pt>
                <c:pt idx="20">
                  <c:v>0.13992033355966391</c:v>
                </c:pt>
                <c:pt idx="21">
                  <c:v>0.14699372760092394</c:v>
                </c:pt>
                <c:pt idx="22">
                  <c:v>0.15423683233372376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D-5247-8912-2B35B9B3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25967"/>
        <c:axId val="2030210479"/>
      </c:scatterChart>
      <c:valAx>
        <c:axId val="127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18079"/>
        <c:crosses val="autoZero"/>
        <c:crossBetween val="midCat"/>
      </c:valAx>
      <c:valAx>
        <c:axId val="20149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0048"/>
        <c:crosses val="autoZero"/>
        <c:crossBetween val="midCat"/>
      </c:valAx>
      <c:valAx>
        <c:axId val="2030210479"/>
        <c:scaling>
          <c:orientation val="minMax"/>
        </c:scaling>
        <c:delete val="0"/>
        <c:axPos val="r"/>
        <c:numFmt formatCode="_(* #,##0.0000_);_(* \(#,##0.0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5967"/>
        <c:crosses val="max"/>
        <c:crossBetween val="midCat"/>
      </c:valAx>
      <c:valAx>
        <c:axId val="2030125967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03021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friction!$A$9:$A$69</c:f>
              <c:numCache>
                <c:formatCode>0.000</c:formatCode>
                <c:ptCount val="61"/>
                <c:pt idx="0">
                  <c:v>-0.03</c:v>
                </c:pt>
                <c:pt idx="1">
                  <c:v>-2.9000000000000001E-2</c:v>
                </c:pt>
                <c:pt idx="2">
                  <c:v>-2.8000000000000001E-2</c:v>
                </c:pt>
                <c:pt idx="3">
                  <c:v>-2.7E-2</c:v>
                </c:pt>
                <c:pt idx="4">
                  <c:v>-2.5999999999999999E-2</c:v>
                </c:pt>
                <c:pt idx="5">
                  <c:v>-2.5000000000000001E-2</c:v>
                </c:pt>
                <c:pt idx="6">
                  <c:v>-2.4E-2</c:v>
                </c:pt>
                <c:pt idx="7">
                  <c:v>-2.3E-2</c:v>
                </c:pt>
                <c:pt idx="8">
                  <c:v>-2.1999999999999999E-2</c:v>
                </c:pt>
                <c:pt idx="9">
                  <c:v>-2.1000000000000001E-2</c:v>
                </c:pt>
                <c:pt idx="10">
                  <c:v>-0.02</c:v>
                </c:pt>
                <c:pt idx="11">
                  <c:v>-1.9E-2</c:v>
                </c:pt>
                <c:pt idx="12">
                  <c:v>-1.7999999999999999E-2</c:v>
                </c:pt>
                <c:pt idx="13">
                  <c:v>-1.7000000000000001E-2</c:v>
                </c:pt>
                <c:pt idx="14">
                  <c:v>-1.6E-2</c:v>
                </c:pt>
                <c:pt idx="15">
                  <c:v>-1.4999999999999999E-2</c:v>
                </c:pt>
                <c:pt idx="16">
                  <c:v>-1.4E-2</c:v>
                </c:pt>
                <c:pt idx="17">
                  <c:v>-1.2999999999999999E-2</c:v>
                </c:pt>
                <c:pt idx="18">
                  <c:v>-1.2E-2</c:v>
                </c:pt>
                <c:pt idx="19">
                  <c:v>-1.0999999999999999E-2</c:v>
                </c:pt>
                <c:pt idx="20">
                  <c:v>-1.0000000000000101E-2</c:v>
                </c:pt>
                <c:pt idx="21">
                  <c:v>-9.0000000000000999E-3</c:v>
                </c:pt>
                <c:pt idx="22">
                  <c:v>-8.0000000000001008E-3</c:v>
                </c:pt>
                <c:pt idx="23">
                  <c:v>-7.0000000000000999E-3</c:v>
                </c:pt>
                <c:pt idx="24">
                  <c:v>-6.0000000000000999E-3</c:v>
                </c:pt>
                <c:pt idx="25">
                  <c:v>-5.0000000000000999E-3</c:v>
                </c:pt>
                <c:pt idx="26">
                  <c:v>-4.0000000000000998E-3</c:v>
                </c:pt>
                <c:pt idx="27">
                  <c:v>-3.0000000000000998E-3</c:v>
                </c:pt>
                <c:pt idx="28">
                  <c:v>-2.0000000000000998E-3</c:v>
                </c:pt>
                <c:pt idx="29">
                  <c:v>-1.0000000000001E-3</c:v>
                </c:pt>
                <c:pt idx="30">
                  <c:v>-1.00613961606655E-16</c:v>
                </c:pt>
                <c:pt idx="31">
                  <c:v>9.9999999999990006E-4</c:v>
                </c:pt>
                <c:pt idx="32">
                  <c:v>1.9999999999998999E-3</c:v>
                </c:pt>
                <c:pt idx="33">
                  <c:v>2.9999999999998999E-3</c:v>
                </c:pt>
                <c:pt idx="34">
                  <c:v>3.9999999999999003E-3</c:v>
                </c:pt>
                <c:pt idx="35">
                  <c:v>4.9999999999999004E-3</c:v>
                </c:pt>
                <c:pt idx="36">
                  <c:v>5.9999999999999004E-3</c:v>
                </c:pt>
                <c:pt idx="37">
                  <c:v>6.9999999999999004E-3</c:v>
                </c:pt>
                <c:pt idx="38">
                  <c:v>7.9999999999998996E-3</c:v>
                </c:pt>
                <c:pt idx="39">
                  <c:v>8.9999999999999004E-3</c:v>
                </c:pt>
                <c:pt idx="40">
                  <c:v>9.9999999999998996E-3</c:v>
                </c:pt>
                <c:pt idx="41">
                  <c:v>1.09999999999999E-2</c:v>
                </c:pt>
                <c:pt idx="42">
                  <c:v>1.19999999999999E-2</c:v>
                </c:pt>
                <c:pt idx="43">
                  <c:v>1.2999999999999901E-2</c:v>
                </c:pt>
                <c:pt idx="44">
                  <c:v>1.39999999999999E-2</c:v>
                </c:pt>
                <c:pt idx="45">
                  <c:v>1.4999999999999901E-2</c:v>
                </c:pt>
                <c:pt idx="46">
                  <c:v>1.59999999999999E-2</c:v>
                </c:pt>
                <c:pt idx="47">
                  <c:v>1.6999999999999901E-2</c:v>
                </c:pt>
                <c:pt idx="48">
                  <c:v>1.7999999999999901E-2</c:v>
                </c:pt>
                <c:pt idx="49">
                  <c:v>1.8999999999999899E-2</c:v>
                </c:pt>
                <c:pt idx="50">
                  <c:v>1.99999999999999E-2</c:v>
                </c:pt>
                <c:pt idx="51">
                  <c:v>2.0999999999999901E-2</c:v>
                </c:pt>
                <c:pt idx="52">
                  <c:v>2.1999999999999902E-2</c:v>
                </c:pt>
                <c:pt idx="53">
                  <c:v>2.2999999999999899E-2</c:v>
                </c:pt>
                <c:pt idx="54">
                  <c:v>2.39999999999999E-2</c:v>
                </c:pt>
                <c:pt idx="55">
                  <c:v>2.4999999999999901E-2</c:v>
                </c:pt>
                <c:pt idx="56">
                  <c:v>2.5999999999999902E-2</c:v>
                </c:pt>
                <c:pt idx="57">
                  <c:v>2.6999999999999899E-2</c:v>
                </c:pt>
                <c:pt idx="58">
                  <c:v>2.79999999999999E-2</c:v>
                </c:pt>
                <c:pt idx="59">
                  <c:v>2.8999999999999901E-2</c:v>
                </c:pt>
                <c:pt idx="60">
                  <c:v>2.9999999999999898E-2</c:v>
                </c:pt>
              </c:numCache>
            </c:numRef>
          </c:xVal>
          <c:yVal>
            <c:numRef>
              <c:f>friction!$B$9:$B$69</c:f>
              <c:numCache>
                <c:formatCode>_(* #,##0.0000_);_(* \(#,##0.0000\);_(* "-"??_);_(@_)</c:formatCode>
                <c:ptCount val="61"/>
                <c:pt idx="0">
                  <c:v>1.0022213764735603E-2</c:v>
                </c:pt>
                <c:pt idx="1">
                  <c:v>1.00400733742454E-2</c:v>
                </c:pt>
                <c:pt idx="2">
                  <c:v>1.0070860427317915E-2</c:v>
                </c:pt>
                <c:pt idx="3">
                  <c:v>1.0122819049496148E-2</c:v>
                </c:pt>
                <c:pt idx="4">
                  <c:v>1.0208661251302827E-2</c:v>
                </c:pt>
                <c:pt idx="5">
                  <c:v>1.0347481744520989E-2</c:v>
                </c:pt>
                <c:pt idx="6">
                  <c:v>1.056720008772E-2</c:v>
                </c:pt>
                <c:pt idx="7">
                  <c:v>1.0907516846744377E-2</c:v>
                </c:pt>
                <c:pt idx="8">
                  <c:v>1.1423269729286822E-2</c:v>
                </c:pt>
                <c:pt idx="9">
                  <c:v>1.2187932099384688E-2</c:v>
                </c:pt>
                <c:pt idx="10">
                  <c:v>1.3296814999972153E-2</c:v>
                </c:pt>
                <c:pt idx="11">
                  <c:v>1.4869332435943076E-2</c:v>
                </c:pt>
                <c:pt idx="12">
                  <c:v>1.7049501117817677E-2</c:v>
                </c:pt>
                <c:pt idx="13">
                  <c:v>2.0003718270066945E-2</c:v>
                </c:pt>
                <c:pt idx="14">
                  <c:v>2.3914853279793948E-2</c:v>
                </c:pt>
                <c:pt idx="15">
                  <c:v>2.897186042113558E-2</c:v>
                </c:pt>
                <c:pt idx="16">
                  <c:v>3.5354515765788103E-2</c:v>
                </c:pt>
                <c:pt idx="17">
                  <c:v>4.3213514318738086E-2</c:v>
                </c:pt>
                <c:pt idx="18">
                  <c:v>5.264699656278192E-2</c:v>
                </c:pt>
                <c:pt idx="19">
                  <c:v>6.3675510297379737E-2</c:v>
                </c:pt>
                <c:pt idx="20">
                  <c:v>7.6218299410858281E-2</c:v>
                </c:pt>
                <c:pt idx="21">
                  <c:v>9.0074451920127946E-2</c:v>
                </c:pt>
                <c:pt idx="22">
                  <c:v>0.10491263632774721</c:v>
                </c:pt>
                <c:pt idx="23">
                  <c:v>0.12027275095319336</c:v>
                </c:pt>
                <c:pt idx="24">
                  <c:v>0.13558173869278409</c:v>
                </c:pt>
                <c:pt idx="25">
                  <c:v>0.15018414095285149</c:v>
                </c:pt>
                <c:pt idx="26">
                  <c:v>0.16338588201391682</c:v>
                </c:pt>
                <c:pt idx="27">
                  <c:v>0.17450761334882009</c:v>
                </c:pt>
                <c:pt idx="28">
                  <c:v>0.18294209904741748</c:v>
                </c:pt>
                <c:pt idx="29">
                  <c:v>0.18820897007484991</c:v>
                </c:pt>
                <c:pt idx="30">
                  <c:v>0.19</c:v>
                </c:pt>
                <c:pt idx="31">
                  <c:v>0.1882089700748506</c:v>
                </c:pt>
                <c:pt idx="32">
                  <c:v>0.18294209904741887</c:v>
                </c:pt>
                <c:pt idx="33">
                  <c:v>0.17450761334882206</c:v>
                </c:pt>
                <c:pt idx="34">
                  <c:v>0.16338588201391926</c:v>
                </c:pt>
                <c:pt idx="35">
                  <c:v>0.15018414095285429</c:v>
                </c:pt>
                <c:pt idx="36">
                  <c:v>0.13558173869278711</c:v>
                </c:pt>
                <c:pt idx="37">
                  <c:v>0.12027275095319641</c:v>
                </c:pt>
                <c:pt idx="38">
                  <c:v>0.10491263632775025</c:v>
                </c:pt>
                <c:pt idx="39">
                  <c:v>9.0074451920130832E-2</c:v>
                </c:pt>
                <c:pt idx="40">
                  <c:v>7.6218299410860946E-2</c:v>
                </c:pt>
                <c:pt idx="41">
                  <c:v>6.3675510297380888E-2</c:v>
                </c:pt>
                <c:pt idx="42">
                  <c:v>5.264699656278294E-2</c:v>
                </c:pt>
                <c:pt idx="43">
                  <c:v>4.3213514318738926E-2</c:v>
                </c:pt>
                <c:pt idx="44">
                  <c:v>3.5354515765788817E-2</c:v>
                </c:pt>
                <c:pt idx="45">
                  <c:v>2.8971860421136142E-2</c:v>
                </c:pt>
                <c:pt idx="46">
                  <c:v>2.3914853279794403E-2</c:v>
                </c:pt>
                <c:pt idx="47">
                  <c:v>2.0003718270067292E-2</c:v>
                </c:pt>
                <c:pt idx="48">
                  <c:v>1.7049501117817924E-2</c:v>
                </c:pt>
                <c:pt idx="49">
                  <c:v>1.486933243594326E-2</c:v>
                </c:pt>
                <c:pt idx="50">
                  <c:v>1.3296814999972284E-2</c:v>
                </c:pt>
                <c:pt idx="51">
                  <c:v>1.2187932099384782E-2</c:v>
                </c:pt>
                <c:pt idx="52">
                  <c:v>1.1423269729286882E-2</c:v>
                </c:pt>
                <c:pt idx="53">
                  <c:v>1.0907516846744418E-2</c:v>
                </c:pt>
                <c:pt idx="54">
                  <c:v>1.0567200087720026E-2</c:v>
                </c:pt>
                <c:pt idx="55">
                  <c:v>1.0347481744521004E-2</c:v>
                </c:pt>
                <c:pt idx="56">
                  <c:v>1.0208661251302837E-2</c:v>
                </c:pt>
                <c:pt idx="57">
                  <c:v>1.0122819049496155E-2</c:v>
                </c:pt>
                <c:pt idx="58">
                  <c:v>1.0070860427317918E-2</c:v>
                </c:pt>
                <c:pt idx="59">
                  <c:v>1.0040073374245402E-2</c:v>
                </c:pt>
                <c:pt idx="60">
                  <c:v>1.0022213764735603E-2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0-1840-9F21-5DB212A5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8639"/>
        <c:axId val="2058965151"/>
      </c:scatterChart>
      <c:valAx>
        <c:axId val="20591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65151"/>
        <c:crosses val="autoZero"/>
        <c:crossBetween val="midCat"/>
      </c:valAx>
      <c:valAx>
        <c:axId val="20589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258234</xdr:colOff>
      <xdr:row>10</xdr:row>
      <xdr:rowOff>135466</xdr:rowOff>
    </xdr:from>
    <xdr:to>
      <xdr:col>21</xdr:col>
      <xdr:colOff>660401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03765-C49B-35D4-278F-49DA9F44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325967</xdr:colOff>
      <xdr:row>8</xdr:row>
      <xdr:rowOff>29634</xdr:rowOff>
    </xdr:from>
    <xdr:to>
      <xdr:col>9</xdr:col>
      <xdr:colOff>749300</xdr:colOff>
      <xdr:row>21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828E8-6DF6-78F0-C472-3C2B9BB6E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7A29-21C9-B340-B50D-0A5E456F8848}">
  <dimension ref="A2:S14"/>
  <sheetViews>
    <sheetView tabSelected="1" topLeftCell="G1" zoomScale="150" zoomScaleNormal="150" workbookViewId="0">
      <selection activeCell="R10" sqref="R10"/>
    </sheetView>
  </sheetViews>
  <sheetFormatPr baseColWidth="10" defaultRowHeight="16" x14ac:dyDescent="0.2"/>
  <cols>
    <col min="1" max="1" width="17.6640625" customWidth="1"/>
    <col min="2" max="3" width="13.6640625" customWidth="1"/>
    <col min="7" max="7" width="12.5" customWidth="1"/>
    <col min="16" max="16" width="11.6640625" bestFit="1" customWidth="1"/>
    <col min="17" max="17" width="17" customWidth="1"/>
    <col min="18" max="18" width="18.1640625" customWidth="1"/>
    <col min="19" max="19" width="16.33203125" customWidth="1"/>
  </cols>
  <sheetData>
    <row r="2" spans="1:19" x14ac:dyDescent="0.2">
      <c r="A2" t="s">
        <v>11</v>
      </c>
    </row>
    <row r="3" spans="1:19" x14ac:dyDescent="0.2">
      <c r="A3" t="s">
        <v>13</v>
      </c>
      <c r="B3">
        <v>9.8000000000000007</v>
      </c>
      <c r="C3" t="s">
        <v>12</v>
      </c>
    </row>
    <row r="7" spans="1:19" x14ac:dyDescent="0.2">
      <c r="C7" s="21" t="s">
        <v>0</v>
      </c>
      <c r="D7" s="21"/>
      <c r="E7" s="21"/>
      <c r="F7" s="21"/>
      <c r="H7" s="21" t="s">
        <v>7</v>
      </c>
      <c r="I7" s="21"/>
      <c r="J7" s="21"/>
      <c r="K7" s="21"/>
      <c r="L7" s="21" t="s">
        <v>50</v>
      </c>
      <c r="M7" s="21"/>
      <c r="N7" s="21"/>
      <c r="O7" s="21"/>
      <c r="P7" s="21" t="s">
        <v>51</v>
      </c>
      <c r="Q7" s="21"/>
      <c r="R7" s="21" t="s">
        <v>52</v>
      </c>
      <c r="S7" s="21"/>
    </row>
    <row r="8" spans="1:19" x14ac:dyDescent="0.2">
      <c r="C8" s="21" t="s">
        <v>5</v>
      </c>
      <c r="D8" s="21"/>
      <c r="E8" s="21" t="s">
        <v>6</v>
      </c>
      <c r="F8" s="21"/>
      <c r="H8" s="21" t="s">
        <v>5</v>
      </c>
      <c r="I8" s="21"/>
      <c r="J8" s="21" t="s">
        <v>6</v>
      </c>
      <c r="K8" s="21"/>
      <c r="L8" s="21" t="s">
        <v>5</v>
      </c>
      <c r="M8" s="21"/>
      <c r="N8" s="21" t="s">
        <v>6</v>
      </c>
      <c r="O8" s="21"/>
    </row>
    <row r="9" spans="1:19" x14ac:dyDescent="0.2">
      <c r="A9" t="s">
        <v>1</v>
      </c>
      <c r="B9" t="s">
        <v>2</v>
      </c>
      <c r="C9" t="s">
        <v>3</v>
      </c>
      <c r="D9" t="s">
        <v>4</v>
      </c>
      <c r="E9" t="s">
        <v>3</v>
      </c>
      <c r="F9" t="s">
        <v>4</v>
      </c>
      <c r="G9" t="s">
        <v>8</v>
      </c>
      <c r="H9" t="s">
        <v>3</v>
      </c>
      <c r="I9" t="s">
        <v>4</v>
      </c>
      <c r="J9" t="s">
        <v>3</v>
      </c>
      <c r="K9" t="s">
        <v>4</v>
      </c>
      <c r="L9" t="s">
        <v>3</v>
      </c>
      <c r="M9" t="s">
        <v>4</v>
      </c>
      <c r="N9" t="s">
        <v>3</v>
      </c>
      <c r="O9" t="s">
        <v>4</v>
      </c>
      <c r="P9" t="s">
        <v>14</v>
      </c>
      <c r="Q9" t="s">
        <v>15</v>
      </c>
      <c r="R9" t="s">
        <v>14</v>
      </c>
      <c r="S9" t="s">
        <v>15</v>
      </c>
    </row>
    <row r="10" spans="1:19" x14ac:dyDescent="0.2">
      <c r="A10" t="s">
        <v>9</v>
      </c>
      <c r="B10">
        <v>14</v>
      </c>
      <c r="C10">
        <v>370</v>
      </c>
      <c r="D10">
        <v>440</v>
      </c>
      <c r="E10">
        <v>381</v>
      </c>
      <c r="F10">
        <v>445</v>
      </c>
      <c r="G10">
        <f>B10*0.0254</f>
        <v>0.35559999999999997</v>
      </c>
      <c r="H10">
        <f>C10/1000</f>
        <v>0.37</v>
      </c>
      <c r="I10">
        <f t="shared" ref="I10:K10" si="0">D10/1000</f>
        <v>0.44</v>
      </c>
      <c r="J10">
        <f t="shared" si="0"/>
        <v>0.38100000000000001</v>
      </c>
      <c r="K10">
        <f t="shared" si="0"/>
        <v>0.44500000000000001</v>
      </c>
      <c r="L10" s="4">
        <f t="shared" ref="L10:O11" si="1">H10*g*$G10</f>
        <v>1.2894056</v>
      </c>
      <c r="M10" s="4">
        <f t="shared" si="1"/>
        <v>1.5333471999999999</v>
      </c>
      <c r="N10" s="4">
        <f t="shared" si="1"/>
        <v>1.3277392800000001</v>
      </c>
      <c r="O10" s="4">
        <f t="shared" si="1"/>
        <v>1.5507716</v>
      </c>
      <c r="P10" s="4">
        <f>AVERAGE(L10:M10)</f>
        <v>1.4113764</v>
      </c>
      <c r="Q10" s="4">
        <f>AVERAGE(N10:O10)</f>
        <v>1.4392554400000002</v>
      </c>
      <c r="R10" s="4">
        <f>(M10-L10)/2</f>
        <v>0.12197079999999993</v>
      </c>
      <c r="S10" s="4">
        <f>(O10-N10)/2</f>
        <v>0.11151615999999998</v>
      </c>
    </row>
    <row r="11" spans="1:19" x14ac:dyDescent="0.2">
      <c r="A11" t="s">
        <v>10</v>
      </c>
      <c r="B11">
        <v>36</v>
      </c>
      <c r="C11">
        <v>330</v>
      </c>
      <c r="D11">
        <v>340</v>
      </c>
      <c r="E11">
        <v>360</v>
      </c>
      <c r="F11">
        <v>385</v>
      </c>
      <c r="G11">
        <f>B11*0.0254</f>
        <v>0.91439999999999999</v>
      </c>
      <c r="H11">
        <f>C11/1000</f>
        <v>0.33</v>
      </c>
      <c r="I11">
        <f t="shared" ref="I11" si="2">D11/1000</f>
        <v>0.34</v>
      </c>
      <c r="J11">
        <f t="shared" ref="J11" si="3">E11/1000</f>
        <v>0.36</v>
      </c>
      <c r="K11">
        <f t="shared" ref="K11" si="4">F11/1000</f>
        <v>0.38500000000000001</v>
      </c>
      <c r="L11" s="4">
        <f t="shared" si="1"/>
        <v>2.9571696000000003</v>
      </c>
      <c r="M11" s="4">
        <f t="shared" si="1"/>
        <v>3.0467808000000001</v>
      </c>
      <c r="N11" s="4">
        <f t="shared" si="1"/>
        <v>3.2260032000000001</v>
      </c>
      <c r="O11" s="4">
        <f t="shared" si="1"/>
        <v>3.4500312000000006</v>
      </c>
      <c r="P11" s="4">
        <f>AVERAGE(L11:M11)</f>
        <v>3.0019752000000004</v>
      </c>
      <c r="Q11" s="4">
        <f>AVERAGE(N11:O11)</f>
        <v>3.3380172000000004</v>
      </c>
      <c r="R11" s="4">
        <f>(M11-L11)/2</f>
        <v>4.480559999999989E-2</v>
      </c>
      <c r="S11" s="4">
        <f>(O11-N11)/2</f>
        <v>0.11201400000000028</v>
      </c>
    </row>
    <row r="13" spans="1:19" x14ac:dyDescent="0.2">
      <c r="O13" t="s">
        <v>16</v>
      </c>
      <c r="P13" s="4">
        <f>P$10*$G$11/$G$10</f>
        <v>3.6292536000000002</v>
      </c>
      <c r="Q13" s="4">
        <f>Q$10*$G$11/$G$10</f>
        <v>3.7009425600000005</v>
      </c>
    </row>
    <row r="14" spans="1:19" x14ac:dyDescent="0.2">
      <c r="P14" s="4">
        <f>P$10*$G$11/$G$10</f>
        <v>3.6292536000000002</v>
      </c>
      <c r="Q14" s="4">
        <f>Q$10*$G$11/$G$10</f>
        <v>3.7009425600000005</v>
      </c>
    </row>
  </sheetData>
  <mergeCells count="11">
    <mergeCell ref="C8:D8"/>
    <mergeCell ref="E8:F8"/>
    <mergeCell ref="C7:F7"/>
    <mergeCell ref="H7:K7"/>
    <mergeCell ref="H8:I8"/>
    <mergeCell ref="J8:K8"/>
    <mergeCell ref="L7:O7"/>
    <mergeCell ref="L8:M8"/>
    <mergeCell ref="N8:O8"/>
    <mergeCell ref="P7:Q7"/>
    <mergeCell ref="R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7B4E-4104-8A41-9D03-56D978A1CF88}">
  <dimension ref="A2:O53"/>
  <sheetViews>
    <sheetView topLeftCell="A35" zoomScale="150" zoomScaleNormal="150" workbookViewId="0">
      <selection activeCell="B51" sqref="B51"/>
    </sheetView>
  </sheetViews>
  <sheetFormatPr baseColWidth="10" defaultRowHeight="16" x14ac:dyDescent="0.2"/>
  <cols>
    <col min="1" max="1" width="20.5" bestFit="1" customWidth="1"/>
    <col min="2" max="2" width="12.6640625" bestFit="1" customWidth="1"/>
    <col min="5" max="5" width="12.33203125" customWidth="1"/>
    <col min="6" max="6" width="20.83203125" bestFit="1" customWidth="1"/>
  </cols>
  <sheetData>
    <row r="2" spans="1:15" x14ac:dyDescent="0.2">
      <c r="A2" t="s">
        <v>18</v>
      </c>
      <c r="B2" t="s">
        <v>20</v>
      </c>
      <c r="C2" t="s">
        <v>24</v>
      </c>
      <c r="D2" t="s">
        <v>21</v>
      </c>
      <c r="E2" t="s">
        <v>22</v>
      </c>
      <c r="F2" t="s">
        <v>23</v>
      </c>
      <c r="G2" t="s">
        <v>25</v>
      </c>
    </row>
    <row r="3" spans="1:15" x14ac:dyDescent="0.2">
      <c r="A3">
        <v>1</v>
      </c>
      <c r="B3" s="19">
        <v>8.2278943715440506E-2</v>
      </c>
      <c r="C3" s="20">
        <v>0.1</v>
      </c>
      <c r="D3">
        <v>12</v>
      </c>
      <c r="E3">
        <v>0</v>
      </c>
      <c r="F3" s="8">
        <f>(D3+E3)*C3</f>
        <v>1.2000000000000002</v>
      </c>
      <c r="G3" s="4">
        <f>0.0254*F3</f>
        <v>3.0480000000000004E-2</v>
      </c>
    </row>
    <row r="4" spans="1:15" x14ac:dyDescent="0.2">
      <c r="A4">
        <v>2</v>
      </c>
      <c r="B4" s="19">
        <v>6.8919532524582883E-2</v>
      </c>
      <c r="C4" s="20">
        <v>0.24795261742371827</v>
      </c>
      <c r="D4">
        <v>12</v>
      </c>
      <c r="E4">
        <v>1</v>
      </c>
      <c r="F4" s="8">
        <f>(D4+E4)*C4</f>
        <v>3.2233840265083376</v>
      </c>
      <c r="G4" s="4">
        <f t="shared" ref="G4:G6" si="0">0.0254*F4</f>
        <v>8.1873954273311775E-2</v>
      </c>
    </row>
    <row r="5" spans="1:15" x14ac:dyDescent="0.2">
      <c r="A5">
        <v>3</v>
      </c>
      <c r="B5" s="19">
        <v>0.45718466345727843</v>
      </c>
      <c r="C5" s="20">
        <v>0.9</v>
      </c>
      <c r="D5">
        <v>12</v>
      </c>
      <c r="E5">
        <v>1</v>
      </c>
      <c r="F5" s="8">
        <f>(D5+E5)*C5</f>
        <v>11.700000000000001</v>
      </c>
      <c r="G5" s="4">
        <f t="shared" si="0"/>
        <v>0.29718</v>
      </c>
    </row>
    <row r="6" spans="1:15" x14ac:dyDescent="0.2">
      <c r="A6" t="s">
        <v>19</v>
      </c>
      <c r="B6" s="6">
        <f>SUM(B3:B5)</f>
        <v>0.60838313969730184</v>
      </c>
      <c r="C6" s="7">
        <f>F6/E6</f>
        <v>0.66569298254854725</v>
      </c>
      <c r="E6">
        <f>D5+E5+E4</f>
        <v>14</v>
      </c>
      <c r="F6" s="8">
        <f>SUMPRODUCT(B3:B5,F3:F5)/massTotal</f>
        <v>9.3197017556796613</v>
      </c>
      <c r="G6" s="4">
        <f t="shared" si="0"/>
        <v>0.2367204245942634</v>
      </c>
    </row>
    <row r="8" spans="1:15" x14ac:dyDescent="0.2">
      <c r="A8" t="s">
        <v>26</v>
      </c>
      <c r="B8" s="5">
        <f>(mass2+mass3)/(4*massTotal)</f>
        <v>0.21618950364223685</v>
      </c>
      <c r="D8" s="3"/>
      <c r="E8" s="10"/>
    </row>
    <row r="9" spans="1:15" x14ac:dyDescent="0.2">
      <c r="A9" t="s">
        <v>27</v>
      </c>
      <c r="B9" s="5">
        <f>SUMPRODUCT(B4:B5,G4:G5)/massTotal</f>
        <v>0.23259824887832492</v>
      </c>
    </row>
    <row r="10" spans="1:15" x14ac:dyDescent="0.2">
      <c r="A10" t="s">
        <v>28</v>
      </c>
      <c r="B10" s="5">
        <f>G6^2</f>
        <v>5.6036559420088346E-2</v>
      </c>
    </row>
    <row r="11" spans="1:15" x14ac:dyDescent="0.2">
      <c r="D11" t="s">
        <v>53</v>
      </c>
    </row>
    <row r="12" spans="1:15" x14ac:dyDescent="0.2">
      <c r="A12" t="s">
        <v>17</v>
      </c>
      <c r="B12" t="s">
        <v>56</v>
      </c>
      <c r="C12" t="s">
        <v>25</v>
      </c>
      <c r="D12" t="s">
        <v>54</v>
      </c>
      <c r="E12" t="s">
        <v>55</v>
      </c>
      <c r="F12" t="s">
        <v>29</v>
      </c>
      <c r="G12" t="s">
        <v>30</v>
      </c>
      <c r="H12" t="s">
        <v>43</v>
      </c>
      <c r="I12" t="s">
        <v>45</v>
      </c>
      <c r="J12" t="s">
        <v>44</v>
      </c>
      <c r="K12" t="s">
        <v>60</v>
      </c>
      <c r="L12" t="s">
        <v>61</v>
      </c>
      <c r="M12" t="s">
        <v>62</v>
      </c>
      <c r="N12" t="s">
        <v>63</v>
      </c>
    </row>
    <row r="13" spans="1:15" x14ac:dyDescent="0.2">
      <c r="A13">
        <v>0</v>
      </c>
      <c r="B13" s="3">
        <f>A13*0.0254</f>
        <v>0</v>
      </c>
      <c r="C13" s="2">
        <f t="shared" ref="C13:C35" si="1">SQRT(Acoeff*B13^2+Bcoeff*B13+Ccoeff)</f>
        <v>0.2367204245942634</v>
      </c>
      <c r="D13" s="4">
        <f>'Collected Data'!$P$10</f>
        <v>1.4113764</v>
      </c>
      <c r="E13" s="3">
        <f t="shared" ref="E13:E35" si="2">massTotal*g*C13</f>
        <v>1.4113638084223363</v>
      </c>
      <c r="F13" s="9">
        <f>(E13-D13)^2</f>
        <v>1.5854782805961328E-10</v>
      </c>
      <c r="G13" s="11">
        <f t="shared" ref="G13:G35" si="3">massTotal*C13^2</f>
        <v>3.4091697957827766E-2</v>
      </c>
      <c r="H13" s="12">
        <f t="shared" ref="H13:H35" si="4">G13*motorR*gearRatio*g/motoKt</f>
        <v>0.57788369053728827</v>
      </c>
      <c r="I13" s="15">
        <f>H13/12</f>
        <v>4.815697421144069E-2</v>
      </c>
      <c r="J13" s="12">
        <f t="shared" ref="J13:J35" si="5">H13/motorR</f>
        <v>0.44304416274525432</v>
      </c>
      <c r="K13" s="16">
        <f t="shared" ref="K13:K35" si="6">motorR*gearRatio*G13/motoKt</f>
        <v>5.8967723524213082E-2</v>
      </c>
      <c r="L13" s="18">
        <f t="shared" ref="L13:L35" si="7">motoKt/gearRatio + $B$53*motorR*gearRatio/motoKt</f>
        <v>0.75409782608695664</v>
      </c>
      <c r="M13" s="14">
        <f>K13/12</f>
        <v>4.9139769603510899E-3</v>
      </c>
      <c r="N13" s="14">
        <f>L13/12</f>
        <v>6.2841485507246386E-2</v>
      </c>
      <c r="O13" s="17">
        <f>I13+M13+N13</f>
        <v>0.11591243667903817</v>
      </c>
    </row>
    <row r="14" spans="1:15" x14ac:dyDescent="0.2">
      <c r="A14">
        <v>1</v>
      </c>
      <c r="B14" s="3">
        <f t="shared" ref="B14:B35" si="8">A14*0.0254</f>
        <v>2.5399999999999999E-2</v>
      </c>
      <c r="C14" s="2">
        <f t="shared" si="1"/>
        <v>0.249166674661295</v>
      </c>
      <c r="E14" s="3">
        <f t="shared" si="2"/>
        <v>1.4855702776160731</v>
      </c>
      <c r="F14" s="9"/>
      <c r="G14" s="11">
        <f t="shared" si="3"/>
        <v>3.7770878168291201E-2</v>
      </c>
      <c r="H14" s="12">
        <f t="shared" si="4"/>
        <v>0.64024896905185358</v>
      </c>
      <c r="I14" s="15">
        <f t="shared" ref="I14:I35" si="9">H14/12</f>
        <v>5.3354080754321132E-2</v>
      </c>
      <c r="J14" s="12">
        <f t="shared" si="5"/>
        <v>0.49085754293975442</v>
      </c>
      <c r="K14" s="16">
        <f t="shared" si="6"/>
        <v>6.5331527454270774E-2</v>
      </c>
      <c r="L14" s="18">
        <f t="shared" si="7"/>
        <v>0.75409782608695664</v>
      </c>
      <c r="M14" s="14">
        <f t="shared" ref="M14:M35" si="10">K14/12</f>
        <v>5.4442939545225645E-3</v>
      </c>
      <c r="N14" s="14">
        <f t="shared" ref="N14:N35" si="11">L14/12</f>
        <v>6.2841485507246386E-2</v>
      </c>
    </row>
    <row r="15" spans="1:15" x14ac:dyDescent="0.2">
      <c r="A15">
        <v>2</v>
      </c>
      <c r="B15" s="3">
        <f t="shared" si="8"/>
        <v>5.0799999999999998E-2</v>
      </c>
      <c r="C15" s="2">
        <f t="shared" si="1"/>
        <v>0.26155392893968649</v>
      </c>
      <c r="E15" s="3">
        <f t="shared" si="2"/>
        <v>1.5594250047872162</v>
      </c>
      <c r="F15" s="9"/>
      <c r="G15" s="11">
        <f t="shared" si="3"/>
        <v>4.1619769070294466E-2</v>
      </c>
      <c r="H15" s="12">
        <f t="shared" si="4"/>
        <v>0.70549099019367056</v>
      </c>
      <c r="I15" s="15">
        <f t="shared" si="9"/>
        <v>5.8790915849472547E-2</v>
      </c>
      <c r="J15" s="12">
        <f t="shared" si="5"/>
        <v>0.54087642581514739</v>
      </c>
      <c r="K15" s="16">
        <f t="shared" si="6"/>
        <v>7.1988876550374545E-2</v>
      </c>
      <c r="L15" s="18">
        <f t="shared" si="7"/>
        <v>0.75409782608695664</v>
      </c>
      <c r="M15" s="14">
        <f t="shared" si="10"/>
        <v>5.9990730458645454E-3</v>
      </c>
      <c r="N15" s="14">
        <f t="shared" si="11"/>
        <v>6.2841485507246386E-2</v>
      </c>
    </row>
    <row r="16" spans="1:15" x14ac:dyDescent="0.2">
      <c r="A16">
        <v>3</v>
      </c>
      <c r="B16" s="3">
        <f t="shared" si="8"/>
        <v>7.619999999999999E-2</v>
      </c>
      <c r="C16" s="2">
        <f t="shared" si="1"/>
        <v>0.27389019216858629</v>
      </c>
      <c r="E16" s="3">
        <f t="shared" si="2"/>
        <v>1.6329757154294546</v>
      </c>
      <c r="F16" s="9"/>
      <c r="G16" s="11">
        <f t="shared" si="3"/>
        <v>4.5638370663837545E-2</v>
      </c>
      <c r="H16" s="12">
        <f t="shared" si="4"/>
        <v>0.77360975396273923</v>
      </c>
      <c r="I16" s="15">
        <f t="shared" si="9"/>
        <v>6.4467479496894936E-2</v>
      </c>
      <c r="J16" s="12">
        <f t="shared" si="5"/>
        <v>0.59310081137143345</v>
      </c>
      <c r="K16" s="16">
        <f t="shared" si="6"/>
        <v>7.8939770812524374E-2</v>
      </c>
      <c r="L16" s="18">
        <f t="shared" si="7"/>
        <v>0.75409782608695664</v>
      </c>
      <c r="M16" s="14">
        <f t="shared" si="10"/>
        <v>6.5783142343770308E-3</v>
      </c>
      <c r="N16" s="14">
        <f t="shared" si="11"/>
        <v>6.2841485507246386E-2</v>
      </c>
    </row>
    <row r="17" spans="1:14" x14ac:dyDescent="0.2">
      <c r="A17">
        <v>4</v>
      </c>
      <c r="B17" s="3">
        <f t="shared" si="8"/>
        <v>0.1016</v>
      </c>
      <c r="C17" s="2">
        <f t="shared" si="1"/>
        <v>0.28618205853764378</v>
      </c>
      <c r="E17" s="3">
        <f t="shared" si="2"/>
        <v>1.706261725122054</v>
      </c>
      <c r="F17" s="9"/>
      <c r="G17" s="11">
        <f t="shared" si="3"/>
        <v>4.9826682948920474E-2</v>
      </c>
      <c r="H17" s="12">
        <f t="shared" si="4"/>
        <v>0.84460526035905958</v>
      </c>
      <c r="I17" s="15">
        <f t="shared" si="9"/>
        <v>7.0383771696588299E-2</v>
      </c>
      <c r="J17" s="12">
        <f t="shared" si="5"/>
        <v>0.64753069960861231</v>
      </c>
      <c r="K17" s="16">
        <f t="shared" si="6"/>
        <v>8.6184210240720344E-2</v>
      </c>
      <c r="L17" s="18">
        <f t="shared" si="7"/>
        <v>0.75409782608695664</v>
      </c>
      <c r="M17" s="14">
        <f t="shared" si="10"/>
        <v>7.1820175200600286E-3</v>
      </c>
      <c r="N17" s="14">
        <f t="shared" si="11"/>
        <v>6.2841485507246386E-2</v>
      </c>
    </row>
    <row r="18" spans="1:14" x14ac:dyDescent="0.2">
      <c r="A18">
        <v>5</v>
      </c>
      <c r="B18" s="3">
        <f t="shared" si="8"/>
        <v>0.127</v>
      </c>
      <c r="C18" s="2">
        <f t="shared" si="1"/>
        <v>0.29843501391740423</v>
      </c>
      <c r="E18" s="3">
        <f t="shared" si="2"/>
        <v>1.779315741474248</v>
      </c>
      <c r="F18" s="9"/>
      <c r="G18" s="11">
        <f t="shared" si="3"/>
        <v>5.4184705925543225E-2</v>
      </c>
      <c r="H18" s="12">
        <f t="shared" si="4"/>
        <v>0.9184775093826314</v>
      </c>
      <c r="I18" s="15">
        <f t="shared" si="9"/>
        <v>7.6539792448552621E-2</v>
      </c>
      <c r="J18" s="12">
        <f t="shared" si="5"/>
        <v>0.70416609052668411</v>
      </c>
      <c r="K18" s="16">
        <f t="shared" si="6"/>
        <v>9.3722194834962386E-2</v>
      </c>
      <c r="L18" s="18">
        <f t="shared" si="7"/>
        <v>0.75409782608695664</v>
      </c>
      <c r="M18" s="14">
        <f t="shared" si="10"/>
        <v>7.8101829029135319E-3</v>
      </c>
      <c r="N18" s="14">
        <f t="shared" si="11"/>
        <v>6.2841485507246386E-2</v>
      </c>
    </row>
    <row r="19" spans="1:14" x14ac:dyDescent="0.2">
      <c r="A19">
        <v>6</v>
      </c>
      <c r="B19" s="3">
        <f t="shared" si="8"/>
        <v>0.15239999999999998</v>
      </c>
      <c r="C19" s="2">
        <f t="shared" si="1"/>
        <v>0.3106536625814329</v>
      </c>
      <c r="E19" s="3">
        <f t="shared" si="2"/>
        <v>1.8521652158776321</v>
      </c>
      <c r="F19" s="9"/>
      <c r="G19" s="11">
        <f t="shared" si="3"/>
        <v>5.8712439593705784E-2</v>
      </c>
      <c r="H19" s="12">
        <f t="shared" si="4"/>
        <v>0.99522650103345489</v>
      </c>
      <c r="I19" s="15">
        <f t="shared" si="9"/>
        <v>8.2935541752787903E-2</v>
      </c>
      <c r="J19" s="12">
        <f t="shared" si="5"/>
        <v>0.76300698412564871</v>
      </c>
      <c r="K19" s="16">
        <f t="shared" si="6"/>
        <v>0.10155372459525049</v>
      </c>
      <c r="L19" s="18">
        <f t="shared" si="7"/>
        <v>0.75409782608695664</v>
      </c>
      <c r="M19" s="14">
        <f t="shared" si="10"/>
        <v>8.4628103829375405E-3</v>
      </c>
      <c r="N19" s="14">
        <f t="shared" si="11"/>
        <v>6.2841485507246386E-2</v>
      </c>
    </row>
    <row r="20" spans="1:14" x14ac:dyDescent="0.2">
      <c r="A20">
        <v>7</v>
      </c>
      <c r="B20" s="3">
        <f t="shared" si="8"/>
        <v>0.17779999999999999</v>
      </c>
      <c r="C20" s="2">
        <f t="shared" si="1"/>
        <v>0.32284189978838862</v>
      </c>
      <c r="E20" s="3">
        <f t="shared" si="2"/>
        <v>1.9248333724671953</v>
      </c>
      <c r="F20" s="9"/>
      <c r="G20" s="11">
        <f t="shared" si="3"/>
        <v>6.34098839534082E-2</v>
      </c>
      <c r="H20" s="12">
        <f t="shared" si="4"/>
        <v>1.0748522353115304</v>
      </c>
      <c r="I20" s="15">
        <f t="shared" si="9"/>
        <v>8.95710196092942E-2</v>
      </c>
      <c r="J20" s="12">
        <f t="shared" si="5"/>
        <v>0.82405338040550657</v>
      </c>
      <c r="K20" s="16">
        <f t="shared" si="6"/>
        <v>0.1096787995215847</v>
      </c>
      <c r="L20" s="18">
        <f t="shared" si="7"/>
        <v>0.75409782608695664</v>
      </c>
      <c r="M20" s="14">
        <f t="shared" si="10"/>
        <v>9.1398999601320589E-3</v>
      </c>
      <c r="N20" s="14">
        <f t="shared" si="11"/>
        <v>6.2841485507246386E-2</v>
      </c>
    </row>
    <row r="21" spans="1:14" x14ac:dyDescent="0.2">
      <c r="A21">
        <v>8</v>
      </c>
      <c r="B21" s="3">
        <f t="shared" si="8"/>
        <v>0.20319999999999999</v>
      </c>
      <c r="C21" s="2">
        <f t="shared" si="1"/>
        <v>0.33500304488621113</v>
      </c>
      <c r="E21" s="3">
        <f t="shared" si="2"/>
        <v>1.997340001709087</v>
      </c>
      <c r="F21" s="9"/>
      <c r="G21" s="11">
        <f t="shared" si="3"/>
        <v>6.8277039004650431E-2</v>
      </c>
      <c r="H21" s="12">
        <f t="shared" si="4"/>
        <v>1.1573547122168573</v>
      </c>
      <c r="I21" s="15">
        <f t="shared" si="9"/>
        <v>9.6446226018071443E-2</v>
      </c>
      <c r="J21" s="12">
        <f t="shared" si="5"/>
        <v>0.88730527936625725</v>
      </c>
      <c r="K21" s="16">
        <f t="shared" si="6"/>
        <v>0.11809741961396501</v>
      </c>
      <c r="L21" s="18">
        <f t="shared" si="7"/>
        <v>0.75409782608695664</v>
      </c>
      <c r="M21" s="14">
        <f t="shared" si="10"/>
        <v>9.8414516344970844E-3</v>
      </c>
      <c r="N21" s="14">
        <f t="shared" si="11"/>
        <v>6.2841485507246386E-2</v>
      </c>
    </row>
    <row r="22" spans="1:14" x14ac:dyDescent="0.2">
      <c r="A22">
        <v>9</v>
      </c>
      <c r="B22" s="3">
        <f t="shared" si="8"/>
        <v>0.2286</v>
      </c>
      <c r="C22" s="2">
        <f t="shared" si="1"/>
        <v>0.34713994519131514</v>
      </c>
      <c r="E22" s="3">
        <f t="shared" si="2"/>
        <v>2.0697020797444479</v>
      </c>
      <c r="F22" s="9"/>
      <c r="G22" s="11">
        <f t="shared" si="3"/>
        <v>7.3313904747432504E-2</v>
      </c>
      <c r="H22" s="12">
        <f t="shared" si="4"/>
        <v>1.2427339317494361</v>
      </c>
      <c r="I22" s="15">
        <f t="shared" si="9"/>
        <v>0.10356116097911967</v>
      </c>
      <c r="J22" s="12">
        <f t="shared" si="5"/>
        <v>0.95276268100790107</v>
      </c>
      <c r="K22" s="16">
        <f t="shared" si="6"/>
        <v>0.12680958487239141</v>
      </c>
      <c r="L22" s="18">
        <f t="shared" si="7"/>
        <v>0.75409782608695664</v>
      </c>
      <c r="M22" s="14">
        <f t="shared" si="10"/>
        <v>1.0567465406032617E-2</v>
      </c>
      <c r="N22" s="14">
        <f t="shared" si="11"/>
        <v>6.2841485507246386E-2</v>
      </c>
    </row>
    <row r="23" spans="1:14" x14ac:dyDescent="0.2">
      <c r="A23">
        <v>10</v>
      </c>
      <c r="B23" s="3">
        <f t="shared" si="8"/>
        <v>0.254</v>
      </c>
      <c r="C23" s="2">
        <f t="shared" si="1"/>
        <v>0.35925505793539697</v>
      </c>
      <c r="E23" s="3">
        <f t="shared" si="2"/>
        <v>2.1419342569689546</v>
      </c>
      <c r="F23" s="9"/>
      <c r="G23" s="11">
        <f t="shared" si="3"/>
        <v>7.8520481181754392E-2</v>
      </c>
      <c r="H23" s="12">
        <f t="shared" si="4"/>
        <v>1.3309898939092661</v>
      </c>
      <c r="I23" s="15">
        <f t="shared" si="9"/>
        <v>0.11091582449243885</v>
      </c>
      <c r="J23" s="12">
        <f t="shared" si="5"/>
        <v>1.0204255853304374</v>
      </c>
      <c r="K23" s="16">
        <f t="shared" si="6"/>
        <v>0.13581529529686387</v>
      </c>
      <c r="L23" s="18">
        <f t="shared" si="7"/>
        <v>0.75409782608695664</v>
      </c>
      <c r="M23" s="14">
        <f t="shared" si="10"/>
        <v>1.1317941274738655E-2</v>
      </c>
      <c r="N23" s="14">
        <f t="shared" si="11"/>
        <v>6.2841485507246386E-2</v>
      </c>
    </row>
    <row r="24" spans="1:14" x14ac:dyDescent="0.2">
      <c r="A24">
        <v>11</v>
      </c>
      <c r="B24" s="3">
        <f t="shared" si="8"/>
        <v>0.27939999999999998</v>
      </c>
      <c r="C24" s="2">
        <f t="shared" si="1"/>
        <v>0.3713505155472942</v>
      </c>
      <c r="E24" s="3">
        <f t="shared" si="2"/>
        <v>2.2140492472533708</v>
      </c>
      <c r="F24" s="9"/>
      <c r="G24" s="11">
        <f t="shared" si="3"/>
        <v>8.3896768307616096E-2</v>
      </c>
      <c r="H24" s="12">
        <f t="shared" si="4"/>
        <v>1.4221225986963479</v>
      </c>
      <c r="I24" s="15">
        <f t="shared" si="9"/>
        <v>0.118510216558029</v>
      </c>
      <c r="J24" s="12">
        <f t="shared" si="5"/>
        <v>1.0902939923338668</v>
      </c>
      <c r="K24" s="16">
        <f t="shared" si="6"/>
        <v>0.14511455088738243</v>
      </c>
      <c r="L24" s="18">
        <f t="shared" si="7"/>
        <v>0.75409782608695664</v>
      </c>
      <c r="M24" s="14">
        <f t="shared" si="10"/>
        <v>1.2092879240615202E-2</v>
      </c>
      <c r="N24" s="14">
        <f t="shared" si="11"/>
        <v>6.2841485507246386E-2</v>
      </c>
    </row>
    <row r="25" spans="1:14" x14ac:dyDescent="0.2">
      <c r="A25">
        <v>12</v>
      </c>
      <c r="B25" s="3">
        <f t="shared" si="8"/>
        <v>0.30479999999999996</v>
      </c>
      <c r="C25" s="2">
        <f t="shared" si="1"/>
        <v>0.38342817812812952</v>
      </c>
      <c r="E25" s="3">
        <f t="shared" si="2"/>
        <v>2.2860581408084761</v>
      </c>
      <c r="F25" s="9"/>
      <c r="G25" s="11">
        <f t="shared" si="3"/>
        <v>8.9442766125017642E-2</v>
      </c>
      <c r="H25" s="12">
        <f t="shared" si="4"/>
        <v>1.5161320461106815</v>
      </c>
      <c r="I25" s="15">
        <f t="shared" si="9"/>
        <v>0.12634433717589014</v>
      </c>
      <c r="J25" s="12">
        <f t="shared" si="5"/>
        <v>1.1623679020181892</v>
      </c>
      <c r="K25" s="16">
        <f t="shared" si="6"/>
        <v>0.15470735164394706</v>
      </c>
      <c r="L25" s="18">
        <f t="shared" si="7"/>
        <v>0.75409782608695664</v>
      </c>
      <c r="M25" s="14">
        <f t="shared" si="10"/>
        <v>1.2892279303662255E-2</v>
      </c>
      <c r="N25" s="14">
        <f t="shared" si="11"/>
        <v>6.2841485507246386E-2</v>
      </c>
    </row>
    <row r="26" spans="1:14" x14ac:dyDescent="0.2">
      <c r="A26">
        <v>13</v>
      </c>
      <c r="B26" s="3">
        <f t="shared" si="8"/>
        <v>0.33019999999999999</v>
      </c>
      <c r="C26" s="2">
        <f t="shared" si="1"/>
        <v>0.3954896759820814</v>
      </c>
      <c r="E26" s="3">
        <f t="shared" si="2"/>
        <v>2.3579706577601036</v>
      </c>
      <c r="F26" s="9"/>
      <c r="G26" s="11">
        <f t="shared" si="3"/>
        <v>9.5158474633959045E-2</v>
      </c>
      <c r="H26" s="12">
        <f t="shared" si="4"/>
        <v>1.6130182361522669</v>
      </c>
      <c r="I26" s="15">
        <f t="shared" si="9"/>
        <v>0.13441818634602223</v>
      </c>
      <c r="J26" s="12">
        <f t="shared" si="5"/>
        <v>1.2366473143834047</v>
      </c>
      <c r="K26" s="16">
        <f t="shared" si="6"/>
        <v>0.16459369756655784</v>
      </c>
      <c r="L26" s="18">
        <f t="shared" si="7"/>
        <v>0.75409782608695664</v>
      </c>
      <c r="M26" s="14">
        <f t="shared" si="10"/>
        <v>1.3716141463879819E-2</v>
      </c>
      <c r="N26" s="14">
        <f t="shared" si="11"/>
        <v>6.2841485507246386E-2</v>
      </c>
    </row>
    <row r="27" spans="1:14" x14ac:dyDescent="0.2">
      <c r="A27">
        <v>14</v>
      </c>
      <c r="B27" s="3">
        <f t="shared" si="8"/>
        <v>0.35559999999999997</v>
      </c>
      <c r="C27" s="2">
        <f t="shared" si="1"/>
        <v>0.4075364443513077</v>
      </c>
      <c r="E27" s="3">
        <f t="shared" si="2"/>
        <v>2.4297953552441287</v>
      </c>
      <c r="F27" s="9"/>
      <c r="G27" s="11">
        <f t="shared" si="3"/>
        <v>0.10104389383444028</v>
      </c>
      <c r="H27" s="12">
        <f t="shared" si="4"/>
        <v>1.7127811688211043</v>
      </c>
      <c r="I27" s="15">
        <f t="shared" si="9"/>
        <v>0.14273176406842536</v>
      </c>
      <c r="J27" s="12">
        <f t="shared" si="5"/>
        <v>1.3131322294295134</v>
      </c>
      <c r="K27" s="16">
        <f t="shared" si="6"/>
        <v>0.17477358865521472</v>
      </c>
      <c r="L27" s="18">
        <f t="shared" si="7"/>
        <v>0.75409782608695664</v>
      </c>
      <c r="M27" s="14">
        <f t="shared" si="10"/>
        <v>1.4564465721267893E-2</v>
      </c>
      <c r="N27" s="14">
        <f t="shared" si="11"/>
        <v>6.2841485507246386E-2</v>
      </c>
    </row>
    <row r="28" spans="1:14" x14ac:dyDescent="0.2">
      <c r="A28">
        <v>15</v>
      </c>
      <c r="B28" s="3">
        <f t="shared" si="8"/>
        <v>0.38100000000000001</v>
      </c>
      <c r="C28" s="2">
        <f t="shared" si="1"/>
        <v>0.41956975198522223</v>
      </c>
      <c r="E28" s="3">
        <f t="shared" si="2"/>
        <v>2.5015397977409202</v>
      </c>
      <c r="F28" s="9"/>
      <c r="G28" s="11">
        <f t="shared" si="3"/>
        <v>0.10709902372646131</v>
      </c>
      <c r="H28" s="12">
        <f t="shared" si="4"/>
        <v>1.8154208441171926</v>
      </c>
      <c r="I28" s="15">
        <f t="shared" si="9"/>
        <v>0.15128507034309938</v>
      </c>
      <c r="J28" s="12">
        <f t="shared" si="5"/>
        <v>1.3918226471565143</v>
      </c>
      <c r="K28" s="16">
        <f t="shared" si="6"/>
        <v>0.18524702490991762</v>
      </c>
      <c r="L28" s="18">
        <f t="shared" si="7"/>
        <v>0.75409782608695664</v>
      </c>
      <c r="M28" s="14">
        <f t="shared" si="10"/>
        <v>1.5437252075826469E-2</v>
      </c>
      <c r="N28" s="14">
        <f t="shared" si="11"/>
        <v>6.2841485507246386E-2</v>
      </c>
    </row>
    <row r="29" spans="1:14" x14ac:dyDescent="0.2">
      <c r="A29">
        <v>16</v>
      </c>
      <c r="B29" s="3">
        <f t="shared" si="8"/>
        <v>0.40639999999999998</v>
      </c>
      <c r="C29" s="2">
        <f t="shared" si="1"/>
        <v>0.43159072479342614</v>
      </c>
      <c r="E29" s="3">
        <f t="shared" si="2"/>
        <v>2.5732106980977756</v>
      </c>
      <c r="F29" s="9"/>
      <c r="G29" s="11">
        <f t="shared" si="3"/>
        <v>0.11332386431002214</v>
      </c>
      <c r="H29" s="12">
        <f t="shared" si="4"/>
        <v>1.9209372620405325</v>
      </c>
      <c r="I29" s="15">
        <f t="shared" si="9"/>
        <v>0.16007810517004437</v>
      </c>
      <c r="J29" s="12">
        <f t="shared" si="5"/>
        <v>1.4727185675644083</v>
      </c>
      <c r="K29" s="16">
        <f t="shared" si="6"/>
        <v>0.19601400633066657</v>
      </c>
      <c r="L29" s="18">
        <f t="shared" si="7"/>
        <v>0.75409782608695664</v>
      </c>
      <c r="M29" s="14">
        <f t="shared" si="10"/>
        <v>1.6334500527555546E-2</v>
      </c>
      <c r="N29" s="14">
        <f t="shared" si="11"/>
        <v>6.2841485507246386E-2</v>
      </c>
    </row>
    <row r="30" spans="1:14" x14ac:dyDescent="0.2">
      <c r="A30">
        <v>17</v>
      </c>
      <c r="B30" s="3">
        <f t="shared" si="8"/>
        <v>0.43179999999999996</v>
      </c>
      <c r="C30" s="2">
        <f t="shared" si="1"/>
        <v>0.44360036554857413</v>
      </c>
      <c r="E30" s="3">
        <f t="shared" si="2"/>
        <v>2.644814035000461</v>
      </c>
      <c r="F30" s="9"/>
      <c r="G30" s="11">
        <f t="shared" si="3"/>
        <v>0.11971841558512283</v>
      </c>
      <c r="H30" s="12">
        <f t="shared" si="4"/>
        <v>2.0293304225911242</v>
      </c>
      <c r="I30" s="15">
        <f t="shared" si="9"/>
        <v>0.16911086854926036</v>
      </c>
      <c r="J30" s="12">
        <f t="shared" si="5"/>
        <v>1.5558199906531951</v>
      </c>
      <c r="K30" s="16">
        <f t="shared" si="6"/>
        <v>0.20707453291746167</v>
      </c>
      <c r="L30" s="18">
        <f t="shared" si="7"/>
        <v>0.75409782608695664</v>
      </c>
      <c r="M30" s="14">
        <f t="shared" si="10"/>
        <v>1.7256211076455138E-2</v>
      </c>
      <c r="N30" s="14">
        <f t="shared" si="11"/>
        <v>6.2841485507246386E-2</v>
      </c>
    </row>
    <row r="31" spans="1:14" x14ac:dyDescent="0.2">
      <c r="A31">
        <v>18</v>
      </c>
      <c r="B31" s="3">
        <f t="shared" si="8"/>
        <v>0.4572</v>
      </c>
      <c r="C31" s="2">
        <f t="shared" si="1"/>
        <v>0.45559957039299537</v>
      </c>
      <c r="E31" s="3">
        <f t="shared" si="2"/>
        <v>2.716355151388238</v>
      </c>
      <c r="F31" s="9"/>
      <c r="G31" s="11">
        <f t="shared" si="3"/>
        <v>0.12628267755176337</v>
      </c>
      <c r="H31" s="12">
        <f t="shared" si="4"/>
        <v>2.1406003257689679</v>
      </c>
      <c r="I31" s="15">
        <f t="shared" si="9"/>
        <v>0.17838336048074732</v>
      </c>
      <c r="J31" s="12">
        <f t="shared" si="5"/>
        <v>1.6411269164228752</v>
      </c>
      <c r="K31" s="16">
        <f t="shared" si="6"/>
        <v>0.21842860467030284</v>
      </c>
      <c r="L31" s="18">
        <f t="shared" si="7"/>
        <v>0.75409782608695664</v>
      </c>
      <c r="M31" s="14">
        <f t="shared" si="10"/>
        <v>1.8202383722525237E-2</v>
      </c>
      <c r="N31" s="14">
        <f t="shared" si="11"/>
        <v>6.2841485507246386E-2</v>
      </c>
    </row>
    <row r="32" spans="1:14" x14ac:dyDescent="0.2">
      <c r="A32">
        <v>19</v>
      </c>
      <c r="B32" s="3">
        <f t="shared" si="8"/>
        <v>0.48259999999999997</v>
      </c>
      <c r="C32" s="2">
        <f t="shared" si="1"/>
        <v>0.46758914274186797</v>
      </c>
      <c r="E32" s="3">
        <f t="shared" si="2"/>
        <v>2.7878388373467415</v>
      </c>
      <c r="F32" s="9"/>
      <c r="G32" s="11">
        <f t="shared" si="3"/>
        <v>0.13301665020994374</v>
      </c>
      <c r="H32" s="12">
        <f t="shared" si="4"/>
        <v>2.2547469715740638</v>
      </c>
      <c r="I32" s="15">
        <f t="shared" si="9"/>
        <v>0.18789558096450532</v>
      </c>
      <c r="J32" s="12">
        <f t="shared" si="5"/>
        <v>1.7286393448734489</v>
      </c>
      <c r="K32" s="16">
        <f t="shared" si="6"/>
        <v>0.23007622158919017</v>
      </c>
      <c r="L32" s="18">
        <f t="shared" si="7"/>
        <v>0.75409782608695664</v>
      </c>
      <c r="M32" s="14">
        <f t="shared" si="10"/>
        <v>1.9173018465765846E-2</v>
      </c>
      <c r="N32" s="14">
        <f t="shared" si="11"/>
        <v>6.2841485507246386E-2</v>
      </c>
    </row>
    <row r="33" spans="1:14" x14ac:dyDescent="0.2">
      <c r="A33">
        <v>20</v>
      </c>
      <c r="B33" s="3">
        <f t="shared" si="8"/>
        <v>0.50800000000000001</v>
      </c>
      <c r="C33" s="2">
        <f t="shared" si="1"/>
        <v>0.47956980505261965</v>
      </c>
      <c r="E33" s="3">
        <f t="shared" si="2"/>
        <v>2.8592694002789703</v>
      </c>
      <c r="F33" s="9"/>
      <c r="G33" s="11">
        <f t="shared" si="3"/>
        <v>0.13992033355966391</v>
      </c>
      <c r="H33" s="12">
        <f t="shared" si="4"/>
        <v>2.3717703600064102</v>
      </c>
      <c r="I33" s="15">
        <f t="shared" si="9"/>
        <v>0.19764753000053417</v>
      </c>
      <c r="J33" s="12">
        <f t="shared" si="5"/>
        <v>1.8183572760049145</v>
      </c>
      <c r="K33" s="16">
        <f t="shared" si="6"/>
        <v>0.24201738367412348</v>
      </c>
      <c r="L33" s="18">
        <f t="shared" si="7"/>
        <v>0.75409782608695664</v>
      </c>
      <c r="M33" s="14">
        <f t="shared" si="10"/>
        <v>2.0168115306176956E-2</v>
      </c>
      <c r="N33" s="14">
        <f t="shared" si="11"/>
        <v>6.2841485507246386E-2</v>
      </c>
    </row>
    <row r="34" spans="1:14" x14ac:dyDescent="0.2">
      <c r="A34">
        <v>21</v>
      </c>
      <c r="B34" s="3">
        <f t="shared" si="8"/>
        <v>0.53339999999999999</v>
      </c>
      <c r="C34" s="2">
        <f t="shared" si="1"/>
        <v>0.49154220883529415</v>
      </c>
      <c r="E34" s="3">
        <f t="shared" si="2"/>
        <v>2.9306507245886384</v>
      </c>
      <c r="F34" s="9"/>
      <c r="G34" s="11">
        <f t="shared" si="3"/>
        <v>0.14699372760092394</v>
      </c>
      <c r="H34" s="12">
        <f t="shared" si="4"/>
        <v>2.4916704910660092</v>
      </c>
      <c r="I34" s="15">
        <f t="shared" si="9"/>
        <v>0.20763920758883411</v>
      </c>
      <c r="J34" s="12">
        <f t="shared" si="5"/>
        <v>1.9102807098172738</v>
      </c>
      <c r="K34" s="16">
        <f t="shared" si="6"/>
        <v>0.25425209092510298</v>
      </c>
      <c r="L34" s="18">
        <f t="shared" si="7"/>
        <v>0.75409782608695664</v>
      </c>
      <c r="M34" s="14">
        <f t="shared" si="10"/>
        <v>2.1187674243758583E-2</v>
      </c>
      <c r="N34" s="14">
        <f t="shared" si="11"/>
        <v>6.2841485507246386E-2</v>
      </c>
    </row>
    <row r="35" spans="1:14" x14ac:dyDescent="0.2">
      <c r="A35">
        <v>22</v>
      </c>
      <c r="B35" s="3">
        <f t="shared" si="8"/>
        <v>0.55879999999999996</v>
      </c>
      <c r="C35" s="2">
        <f t="shared" si="1"/>
        <v>0.50350694320484979</v>
      </c>
      <c r="D35" s="4">
        <f>'Collected Data'!$P$11</f>
        <v>3.0019752000000004</v>
      </c>
      <c r="E35" s="3">
        <f t="shared" si="2"/>
        <v>3.0019863226703043</v>
      </c>
      <c r="F35" s="9">
        <f t="shared" ref="F35" si="12">(E35-D35)^2</f>
        <v>1.2371379468921486E-10</v>
      </c>
      <c r="G35" s="11">
        <f t="shared" si="3"/>
        <v>0.15423683233372376</v>
      </c>
      <c r="H35" s="12">
        <f t="shared" si="4"/>
        <v>2.6144473647528597</v>
      </c>
      <c r="I35" s="15">
        <f t="shared" si="9"/>
        <v>0.21787061372940497</v>
      </c>
      <c r="J35" s="12">
        <f t="shared" si="5"/>
        <v>2.0044096463105259</v>
      </c>
      <c r="K35" s="16">
        <f t="shared" si="6"/>
        <v>0.26678034334212847</v>
      </c>
      <c r="L35" s="18">
        <f t="shared" si="7"/>
        <v>0.75409782608695664</v>
      </c>
      <c r="M35" s="14">
        <f t="shared" si="10"/>
        <v>2.2231695278510707E-2</v>
      </c>
      <c r="N35" s="14">
        <f t="shared" si="11"/>
        <v>6.2841485507246386E-2</v>
      </c>
    </row>
    <row r="36" spans="1:14" x14ac:dyDescent="0.2">
      <c r="E36" s="3"/>
      <c r="F36" s="9">
        <f>SUM(F13:F35)</f>
        <v>2.8226162274882813E-10</v>
      </c>
    </row>
    <row r="37" spans="1:14" x14ac:dyDescent="0.2">
      <c r="E37" s="3"/>
    </row>
    <row r="38" spans="1:14" x14ac:dyDescent="0.2">
      <c r="E38" s="3"/>
    </row>
    <row r="39" spans="1:14" x14ac:dyDescent="0.2">
      <c r="A39" t="s">
        <v>31</v>
      </c>
      <c r="B39" s="10">
        <f>B46/B45</f>
        <v>1.3043478260869565</v>
      </c>
      <c r="C39" t="s">
        <v>40</v>
      </c>
      <c r="E39" s="3"/>
    </row>
    <row r="40" spans="1:14" x14ac:dyDescent="0.2">
      <c r="A40" t="s">
        <v>32</v>
      </c>
      <c r="B40" s="10">
        <f>14/53</f>
        <v>0.26415094339622641</v>
      </c>
      <c r="C40" t="s">
        <v>41</v>
      </c>
    </row>
    <row r="41" spans="1:14" x14ac:dyDescent="0.2">
      <c r="A41" t="s">
        <v>33</v>
      </c>
      <c r="B41" s="10">
        <f>B44/B45</f>
        <v>0.19919565217391308</v>
      </c>
      <c r="C41" t="s">
        <v>42</v>
      </c>
    </row>
    <row r="43" spans="1:14" x14ac:dyDescent="0.2">
      <c r="A43" t="s">
        <v>34</v>
      </c>
      <c r="B43">
        <v>18.7</v>
      </c>
      <c r="C43" t="s">
        <v>35</v>
      </c>
    </row>
    <row r="44" spans="1:14" x14ac:dyDescent="0.2">
      <c r="B44" s="1">
        <f>B43*g/100</f>
        <v>1.8326000000000002</v>
      </c>
      <c r="C44" t="s">
        <v>36</v>
      </c>
    </row>
    <row r="45" spans="1:14" x14ac:dyDescent="0.2">
      <c r="A45" t="s">
        <v>37</v>
      </c>
      <c r="B45">
        <v>9.1999999999999993</v>
      </c>
      <c r="C45" t="s">
        <v>26</v>
      </c>
    </row>
    <row r="46" spans="1:14" x14ac:dyDescent="0.2">
      <c r="A46" t="s">
        <v>38</v>
      </c>
      <c r="B46">
        <v>12</v>
      </c>
      <c r="C46" t="s">
        <v>39</v>
      </c>
    </row>
    <row r="49" spans="1:4" x14ac:dyDescent="0.2">
      <c r="A49" t="s">
        <v>46</v>
      </c>
      <c r="B49">
        <v>0.11</v>
      </c>
      <c r="C49" t="s">
        <v>36</v>
      </c>
      <c r="D49" t="s">
        <v>57</v>
      </c>
    </row>
    <row r="50" spans="1:4" x14ac:dyDescent="0.2">
      <c r="A50" t="s">
        <v>47</v>
      </c>
      <c r="B50" s="10">
        <f>B49*gearRatio/motoKt*motorR</f>
        <v>0.19026478515934672</v>
      </c>
      <c r="C50" t="s">
        <v>48</v>
      </c>
    </row>
    <row r="51" spans="1:4" x14ac:dyDescent="0.2">
      <c r="A51" t="s">
        <v>49</v>
      </c>
      <c r="B51" s="13">
        <f>B50/12</f>
        <v>1.5855398763278895E-2</v>
      </c>
      <c r="C51" t="s">
        <v>41</v>
      </c>
    </row>
    <row r="53" spans="1:4" x14ac:dyDescent="0.2">
      <c r="A53" t="s">
        <v>58</v>
      </c>
      <c r="B53" s="4">
        <v>0</v>
      </c>
      <c r="C53" t="s">
        <v>59</v>
      </c>
    </row>
  </sheetData>
  <pageMargins left="0.7" right="0.7" top="0.75" bottom="0.75" header="0.3" footer="0.3"/>
  <pageSetup orientation="portrait" horizontalDpi="0" verticalDpi="0"/>
  <ignoredErrors>
    <ignoredError sqref="B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DAAF-507E-BB4B-A9EA-2CE25B84C305}">
  <dimension ref="A2:D69"/>
  <sheetViews>
    <sheetView zoomScale="150" zoomScaleNormal="150" workbookViewId="0">
      <selection activeCell="B7" sqref="B7"/>
    </sheetView>
  </sheetViews>
  <sheetFormatPr baseColWidth="10" defaultRowHeight="16" x14ac:dyDescent="0.2"/>
  <cols>
    <col min="2" max="2" width="12.1640625" bestFit="1" customWidth="1"/>
  </cols>
  <sheetData>
    <row r="2" spans="1:4" x14ac:dyDescent="0.2">
      <c r="A2" t="s">
        <v>64</v>
      </c>
      <c r="B2" s="4">
        <v>0.19</v>
      </c>
      <c r="C2" t="s">
        <v>48</v>
      </c>
      <c r="D2" t="s">
        <v>66</v>
      </c>
    </row>
    <row r="3" spans="1:4" x14ac:dyDescent="0.2">
      <c r="A3" t="s">
        <v>65</v>
      </c>
      <c r="B3" s="4">
        <v>0.01</v>
      </c>
      <c r="C3" t="s">
        <v>48</v>
      </c>
      <c r="D3" t="s">
        <v>67</v>
      </c>
    </row>
    <row r="4" spans="1:4" x14ac:dyDescent="0.2">
      <c r="A4" t="s">
        <v>68</v>
      </c>
      <c r="B4">
        <v>0.01</v>
      </c>
      <c r="C4" t="s">
        <v>69</v>
      </c>
    </row>
    <row r="6" spans="1:4" x14ac:dyDescent="0.2">
      <c r="A6" t="s">
        <v>70</v>
      </c>
      <c r="B6">
        <v>0.1</v>
      </c>
      <c r="C6" t="s">
        <v>41</v>
      </c>
      <c r="D6" t="s">
        <v>71</v>
      </c>
    </row>
    <row r="8" spans="1:4" x14ac:dyDescent="0.2">
      <c r="A8" t="s">
        <v>72</v>
      </c>
    </row>
    <row r="9" spans="1:4" x14ac:dyDescent="0.2">
      <c r="A9" s="3">
        <v>-0.03</v>
      </c>
      <c r="B9" s="11">
        <f t="shared" ref="B9:B40" si="0">SIGN(power) * (kinetic + (kstatic - kinetic) * EXP(-POWER($A9 / threshold,2)))</f>
        <v>1.0022213764735603E-2</v>
      </c>
    </row>
    <row r="10" spans="1:4" x14ac:dyDescent="0.2">
      <c r="A10" s="3">
        <v>-2.9000000000000001E-2</v>
      </c>
      <c r="B10" s="11">
        <f t="shared" si="0"/>
        <v>1.00400733742454E-2</v>
      </c>
    </row>
    <row r="11" spans="1:4" x14ac:dyDescent="0.2">
      <c r="A11" s="3">
        <v>-2.8000000000000001E-2</v>
      </c>
      <c r="B11" s="11">
        <f t="shared" si="0"/>
        <v>1.0070860427317915E-2</v>
      </c>
    </row>
    <row r="12" spans="1:4" x14ac:dyDescent="0.2">
      <c r="A12" s="3">
        <v>-2.7E-2</v>
      </c>
      <c r="B12" s="11">
        <f t="shared" si="0"/>
        <v>1.0122819049496148E-2</v>
      </c>
    </row>
    <row r="13" spans="1:4" x14ac:dyDescent="0.2">
      <c r="A13" s="3">
        <v>-2.5999999999999999E-2</v>
      </c>
      <c r="B13" s="11">
        <f t="shared" si="0"/>
        <v>1.0208661251302827E-2</v>
      </c>
    </row>
    <row r="14" spans="1:4" x14ac:dyDescent="0.2">
      <c r="A14" s="3">
        <v>-2.5000000000000001E-2</v>
      </c>
      <c r="B14" s="11">
        <f t="shared" si="0"/>
        <v>1.0347481744520989E-2</v>
      </c>
    </row>
    <row r="15" spans="1:4" x14ac:dyDescent="0.2">
      <c r="A15" s="3">
        <v>-2.4E-2</v>
      </c>
      <c r="B15" s="11">
        <f t="shared" si="0"/>
        <v>1.056720008772E-2</v>
      </c>
    </row>
    <row r="16" spans="1:4" x14ac:dyDescent="0.2">
      <c r="A16" s="3">
        <v>-2.3E-2</v>
      </c>
      <c r="B16" s="11">
        <f t="shared" si="0"/>
        <v>1.0907516846744377E-2</v>
      </c>
    </row>
    <row r="17" spans="1:2" x14ac:dyDescent="0.2">
      <c r="A17" s="3">
        <v>-2.1999999999999999E-2</v>
      </c>
      <c r="B17" s="11">
        <f t="shared" si="0"/>
        <v>1.1423269729286822E-2</v>
      </c>
    </row>
    <row r="18" spans="1:2" x14ac:dyDescent="0.2">
      <c r="A18" s="3">
        <v>-2.1000000000000001E-2</v>
      </c>
      <c r="B18" s="11">
        <f t="shared" si="0"/>
        <v>1.2187932099384688E-2</v>
      </c>
    </row>
    <row r="19" spans="1:2" x14ac:dyDescent="0.2">
      <c r="A19" s="3">
        <v>-0.02</v>
      </c>
      <c r="B19" s="11">
        <f t="shared" si="0"/>
        <v>1.3296814999972153E-2</v>
      </c>
    </row>
    <row r="20" spans="1:2" x14ac:dyDescent="0.2">
      <c r="A20" s="3">
        <v>-1.9E-2</v>
      </c>
      <c r="B20" s="11">
        <f t="shared" si="0"/>
        <v>1.4869332435943076E-2</v>
      </c>
    </row>
    <row r="21" spans="1:2" x14ac:dyDescent="0.2">
      <c r="A21" s="3">
        <v>-1.7999999999999999E-2</v>
      </c>
      <c r="B21" s="11">
        <f t="shared" si="0"/>
        <v>1.7049501117817677E-2</v>
      </c>
    </row>
    <row r="22" spans="1:2" x14ac:dyDescent="0.2">
      <c r="A22" s="3">
        <v>-1.7000000000000001E-2</v>
      </c>
      <c r="B22" s="11">
        <f t="shared" si="0"/>
        <v>2.0003718270066945E-2</v>
      </c>
    </row>
    <row r="23" spans="1:2" x14ac:dyDescent="0.2">
      <c r="A23" s="3">
        <v>-1.6E-2</v>
      </c>
      <c r="B23" s="11">
        <f t="shared" si="0"/>
        <v>2.3914853279793948E-2</v>
      </c>
    </row>
    <row r="24" spans="1:2" x14ac:dyDescent="0.2">
      <c r="A24" s="3">
        <v>-1.4999999999999999E-2</v>
      </c>
      <c r="B24" s="11">
        <f t="shared" si="0"/>
        <v>2.897186042113558E-2</v>
      </c>
    </row>
    <row r="25" spans="1:2" x14ac:dyDescent="0.2">
      <c r="A25" s="3">
        <v>-1.4E-2</v>
      </c>
      <c r="B25" s="11">
        <f t="shared" si="0"/>
        <v>3.5354515765788103E-2</v>
      </c>
    </row>
    <row r="26" spans="1:2" x14ac:dyDescent="0.2">
      <c r="A26" s="3">
        <v>-1.2999999999999999E-2</v>
      </c>
      <c r="B26" s="11">
        <f t="shared" si="0"/>
        <v>4.3213514318738086E-2</v>
      </c>
    </row>
    <row r="27" spans="1:2" x14ac:dyDescent="0.2">
      <c r="A27" s="3">
        <v>-1.2E-2</v>
      </c>
      <c r="B27" s="11">
        <f t="shared" si="0"/>
        <v>5.264699656278192E-2</v>
      </c>
    </row>
    <row r="28" spans="1:2" x14ac:dyDescent="0.2">
      <c r="A28" s="3">
        <v>-1.0999999999999999E-2</v>
      </c>
      <c r="B28" s="11">
        <f t="shared" si="0"/>
        <v>6.3675510297379737E-2</v>
      </c>
    </row>
    <row r="29" spans="1:2" x14ac:dyDescent="0.2">
      <c r="A29" s="3">
        <v>-1.0000000000000101E-2</v>
      </c>
      <c r="B29" s="11">
        <f t="shared" si="0"/>
        <v>7.6218299410858281E-2</v>
      </c>
    </row>
    <row r="30" spans="1:2" x14ac:dyDescent="0.2">
      <c r="A30" s="3">
        <v>-9.0000000000000999E-3</v>
      </c>
      <c r="B30" s="11">
        <f t="shared" si="0"/>
        <v>9.0074451920127946E-2</v>
      </c>
    </row>
    <row r="31" spans="1:2" x14ac:dyDescent="0.2">
      <c r="A31" s="3">
        <v>-8.0000000000001008E-3</v>
      </c>
      <c r="B31" s="11">
        <f t="shared" si="0"/>
        <v>0.10491263632774721</v>
      </c>
    </row>
    <row r="32" spans="1:2" x14ac:dyDescent="0.2">
      <c r="A32" s="3">
        <v>-7.0000000000000999E-3</v>
      </c>
      <c r="B32" s="11">
        <f t="shared" si="0"/>
        <v>0.12027275095319336</v>
      </c>
    </row>
    <row r="33" spans="1:2" x14ac:dyDescent="0.2">
      <c r="A33" s="3">
        <v>-6.0000000000000999E-3</v>
      </c>
      <c r="B33" s="11">
        <f t="shared" si="0"/>
        <v>0.13558173869278409</v>
      </c>
    </row>
    <row r="34" spans="1:2" x14ac:dyDescent="0.2">
      <c r="A34" s="3">
        <v>-5.0000000000000999E-3</v>
      </c>
      <c r="B34" s="11">
        <f t="shared" si="0"/>
        <v>0.15018414095285149</v>
      </c>
    </row>
    <row r="35" spans="1:2" x14ac:dyDescent="0.2">
      <c r="A35" s="3">
        <v>-4.0000000000000998E-3</v>
      </c>
      <c r="B35" s="11">
        <f t="shared" si="0"/>
        <v>0.16338588201391682</v>
      </c>
    </row>
    <row r="36" spans="1:2" x14ac:dyDescent="0.2">
      <c r="A36" s="3">
        <v>-3.0000000000000998E-3</v>
      </c>
      <c r="B36" s="11">
        <f t="shared" si="0"/>
        <v>0.17450761334882009</v>
      </c>
    </row>
    <row r="37" spans="1:2" x14ac:dyDescent="0.2">
      <c r="A37" s="3">
        <v>-2.0000000000000998E-3</v>
      </c>
      <c r="B37" s="11">
        <f t="shared" si="0"/>
        <v>0.18294209904741748</v>
      </c>
    </row>
    <row r="38" spans="1:2" x14ac:dyDescent="0.2">
      <c r="A38" s="3">
        <v>-1.0000000000001E-3</v>
      </c>
      <c r="B38" s="11">
        <f t="shared" si="0"/>
        <v>0.18820897007484991</v>
      </c>
    </row>
    <row r="39" spans="1:2" x14ac:dyDescent="0.2">
      <c r="A39" s="3">
        <v>-1.00613961606655E-16</v>
      </c>
      <c r="B39" s="11">
        <f t="shared" si="0"/>
        <v>0.19</v>
      </c>
    </row>
    <row r="40" spans="1:2" x14ac:dyDescent="0.2">
      <c r="A40" s="3">
        <v>9.9999999999990006E-4</v>
      </c>
      <c r="B40" s="11">
        <f t="shared" si="0"/>
        <v>0.1882089700748506</v>
      </c>
    </row>
    <row r="41" spans="1:2" x14ac:dyDescent="0.2">
      <c r="A41" s="3">
        <v>1.9999999999998999E-3</v>
      </c>
      <c r="B41" s="11">
        <f t="shared" ref="B41:B69" si="1">SIGN(power) * (kinetic + (kstatic - kinetic) * EXP(-POWER($A41 / threshold,2)))</f>
        <v>0.18294209904741887</v>
      </c>
    </row>
    <row r="42" spans="1:2" x14ac:dyDescent="0.2">
      <c r="A42" s="3">
        <v>2.9999999999998999E-3</v>
      </c>
      <c r="B42" s="11">
        <f t="shared" si="1"/>
        <v>0.17450761334882206</v>
      </c>
    </row>
    <row r="43" spans="1:2" x14ac:dyDescent="0.2">
      <c r="A43" s="3">
        <v>3.9999999999999003E-3</v>
      </c>
      <c r="B43" s="11">
        <f t="shared" si="1"/>
        <v>0.16338588201391926</v>
      </c>
    </row>
    <row r="44" spans="1:2" x14ac:dyDescent="0.2">
      <c r="A44" s="3">
        <v>4.9999999999999004E-3</v>
      </c>
      <c r="B44" s="11">
        <f t="shared" si="1"/>
        <v>0.15018414095285429</v>
      </c>
    </row>
    <row r="45" spans="1:2" x14ac:dyDescent="0.2">
      <c r="A45" s="3">
        <v>5.9999999999999004E-3</v>
      </c>
      <c r="B45" s="11">
        <f t="shared" si="1"/>
        <v>0.13558173869278711</v>
      </c>
    </row>
    <row r="46" spans="1:2" x14ac:dyDescent="0.2">
      <c r="A46" s="3">
        <v>6.9999999999999004E-3</v>
      </c>
      <c r="B46" s="11">
        <f t="shared" si="1"/>
        <v>0.12027275095319641</v>
      </c>
    </row>
    <row r="47" spans="1:2" x14ac:dyDescent="0.2">
      <c r="A47" s="3">
        <v>7.9999999999998996E-3</v>
      </c>
      <c r="B47" s="11">
        <f t="shared" si="1"/>
        <v>0.10491263632775025</v>
      </c>
    </row>
    <row r="48" spans="1:2" x14ac:dyDescent="0.2">
      <c r="A48" s="3">
        <v>8.9999999999999004E-3</v>
      </c>
      <c r="B48" s="11">
        <f t="shared" si="1"/>
        <v>9.0074451920130832E-2</v>
      </c>
    </row>
    <row r="49" spans="1:2" x14ac:dyDescent="0.2">
      <c r="A49" s="3">
        <v>9.9999999999998996E-3</v>
      </c>
      <c r="B49" s="11">
        <f t="shared" si="1"/>
        <v>7.6218299410860946E-2</v>
      </c>
    </row>
    <row r="50" spans="1:2" x14ac:dyDescent="0.2">
      <c r="A50" s="3">
        <v>1.09999999999999E-2</v>
      </c>
      <c r="B50" s="11">
        <f t="shared" si="1"/>
        <v>6.3675510297380888E-2</v>
      </c>
    </row>
    <row r="51" spans="1:2" x14ac:dyDescent="0.2">
      <c r="A51" s="3">
        <v>1.19999999999999E-2</v>
      </c>
      <c r="B51" s="11">
        <f t="shared" si="1"/>
        <v>5.264699656278294E-2</v>
      </c>
    </row>
    <row r="52" spans="1:2" x14ac:dyDescent="0.2">
      <c r="A52" s="3">
        <v>1.2999999999999901E-2</v>
      </c>
      <c r="B52" s="11">
        <f t="shared" si="1"/>
        <v>4.3213514318738926E-2</v>
      </c>
    </row>
    <row r="53" spans="1:2" x14ac:dyDescent="0.2">
      <c r="A53" s="3">
        <v>1.39999999999999E-2</v>
      </c>
      <c r="B53" s="11">
        <f t="shared" si="1"/>
        <v>3.5354515765788817E-2</v>
      </c>
    </row>
    <row r="54" spans="1:2" x14ac:dyDescent="0.2">
      <c r="A54" s="3">
        <v>1.4999999999999901E-2</v>
      </c>
      <c r="B54" s="11">
        <f t="shared" si="1"/>
        <v>2.8971860421136142E-2</v>
      </c>
    </row>
    <row r="55" spans="1:2" x14ac:dyDescent="0.2">
      <c r="A55" s="3">
        <v>1.59999999999999E-2</v>
      </c>
      <c r="B55" s="11">
        <f t="shared" si="1"/>
        <v>2.3914853279794403E-2</v>
      </c>
    </row>
    <row r="56" spans="1:2" x14ac:dyDescent="0.2">
      <c r="A56" s="3">
        <v>1.6999999999999901E-2</v>
      </c>
      <c r="B56" s="11">
        <f t="shared" si="1"/>
        <v>2.0003718270067292E-2</v>
      </c>
    </row>
    <row r="57" spans="1:2" x14ac:dyDescent="0.2">
      <c r="A57" s="3">
        <v>1.7999999999999901E-2</v>
      </c>
      <c r="B57" s="11">
        <f t="shared" si="1"/>
        <v>1.7049501117817924E-2</v>
      </c>
    </row>
    <row r="58" spans="1:2" x14ac:dyDescent="0.2">
      <c r="A58" s="3">
        <v>1.8999999999999899E-2</v>
      </c>
      <c r="B58" s="11">
        <f t="shared" si="1"/>
        <v>1.486933243594326E-2</v>
      </c>
    </row>
    <row r="59" spans="1:2" x14ac:dyDescent="0.2">
      <c r="A59" s="3">
        <v>1.99999999999999E-2</v>
      </c>
      <c r="B59" s="11">
        <f t="shared" si="1"/>
        <v>1.3296814999972284E-2</v>
      </c>
    </row>
    <row r="60" spans="1:2" x14ac:dyDescent="0.2">
      <c r="A60" s="3">
        <v>2.0999999999999901E-2</v>
      </c>
      <c r="B60" s="11">
        <f t="shared" si="1"/>
        <v>1.2187932099384782E-2</v>
      </c>
    </row>
    <row r="61" spans="1:2" x14ac:dyDescent="0.2">
      <c r="A61" s="3">
        <v>2.1999999999999902E-2</v>
      </c>
      <c r="B61" s="11">
        <f t="shared" si="1"/>
        <v>1.1423269729286882E-2</v>
      </c>
    </row>
    <row r="62" spans="1:2" x14ac:dyDescent="0.2">
      <c r="A62" s="3">
        <v>2.2999999999999899E-2</v>
      </c>
      <c r="B62" s="11">
        <f t="shared" si="1"/>
        <v>1.0907516846744418E-2</v>
      </c>
    </row>
    <row r="63" spans="1:2" x14ac:dyDescent="0.2">
      <c r="A63" s="3">
        <v>2.39999999999999E-2</v>
      </c>
      <c r="B63" s="11">
        <f t="shared" si="1"/>
        <v>1.0567200087720026E-2</v>
      </c>
    </row>
    <row r="64" spans="1:2" x14ac:dyDescent="0.2">
      <c r="A64" s="3">
        <v>2.4999999999999901E-2</v>
      </c>
      <c r="B64" s="11">
        <f t="shared" si="1"/>
        <v>1.0347481744521004E-2</v>
      </c>
    </row>
    <row r="65" spans="1:2" x14ac:dyDescent="0.2">
      <c r="A65" s="3">
        <v>2.5999999999999902E-2</v>
      </c>
      <c r="B65" s="11">
        <f t="shared" si="1"/>
        <v>1.0208661251302837E-2</v>
      </c>
    </row>
    <row r="66" spans="1:2" x14ac:dyDescent="0.2">
      <c r="A66" s="3">
        <v>2.6999999999999899E-2</v>
      </c>
      <c r="B66" s="11">
        <f t="shared" si="1"/>
        <v>1.0122819049496155E-2</v>
      </c>
    </row>
    <row r="67" spans="1:2" x14ac:dyDescent="0.2">
      <c r="A67" s="3">
        <v>2.79999999999999E-2</v>
      </c>
      <c r="B67" s="11">
        <f t="shared" si="1"/>
        <v>1.0070860427317918E-2</v>
      </c>
    </row>
    <row r="68" spans="1:2" x14ac:dyDescent="0.2">
      <c r="A68" s="3">
        <v>2.8999999999999901E-2</v>
      </c>
      <c r="B68" s="11">
        <f t="shared" si="1"/>
        <v>1.0040073374245402E-2</v>
      </c>
    </row>
    <row r="69" spans="1:2" x14ac:dyDescent="0.2">
      <c r="A69" s="3">
        <v>2.9999999999999898E-2</v>
      </c>
      <c r="B69" s="11">
        <f t="shared" si="1"/>
        <v>1.0022213764735603E-2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Collected Data</vt:lpstr>
      <vt:lpstr>Calcs</vt:lpstr>
      <vt:lpstr>friction</vt:lpstr>
      <vt:lpstr>Acoeff</vt:lpstr>
      <vt:lpstr>Bcoeff</vt:lpstr>
      <vt:lpstr>Ccoeff</vt:lpstr>
      <vt:lpstr>g</vt:lpstr>
      <vt:lpstr>gearRatio</vt:lpstr>
      <vt:lpstr>kinetic</vt:lpstr>
      <vt:lpstr>kstatic</vt:lpstr>
      <vt:lpstr>mass1</vt:lpstr>
      <vt:lpstr>mass2</vt:lpstr>
      <vt:lpstr>mass3</vt:lpstr>
      <vt:lpstr>massTotal</vt:lpstr>
      <vt:lpstr>motoKt</vt:lpstr>
      <vt:lpstr>motorR</vt:lpstr>
      <vt:lpstr>power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Ryden</dc:creator>
  <cp:lastModifiedBy>Carl Ryden</cp:lastModifiedBy>
  <dcterms:created xsi:type="dcterms:W3CDTF">2024-03-24T14:04:56Z</dcterms:created>
  <dcterms:modified xsi:type="dcterms:W3CDTF">2024-03-27T14:32:23Z</dcterms:modified>
</cp:coreProperties>
</file>