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briel/Dropbox/Brain Stormz FTC/2023-24-code/AprilTag Performance Evaluation/"/>
    </mc:Choice>
  </mc:AlternateContent>
  <xr:revisionPtr revIDLastSave="0" documentId="13_ncr:1_{14D85638-8250-BB4A-BE78-0AF11B9CF437}" xr6:coauthVersionLast="47" xr6:coauthVersionMax="47" xr10:uidLastSave="{00000000-0000-0000-0000-000000000000}"/>
  <bookViews>
    <workbookView xWindow="8860" yWindow="500" windowWidth="19940" windowHeight="14660" activeTab="7" xr2:uid="{0242ED38-B07D-D24A-BFD7-C5D111369A13}"/>
  </bookViews>
  <sheets>
    <sheet name="Sheet1" sheetId="1" r:id="rId1"/>
    <sheet name="Sheet2" sheetId="2" r:id="rId2"/>
    <sheet name="Sheet3" sheetId="3" r:id="rId3"/>
    <sheet name="Sheet5" sheetId="5" r:id="rId4"/>
    <sheet name="Sheet4" sheetId="4" r:id="rId5"/>
    <sheet name="Sheet6" sheetId="6" r:id="rId6"/>
    <sheet name="Sheet7" sheetId="7" r:id="rId7"/>
    <sheet name="Worlds-like test" sheetId="8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8" l="1"/>
  <c r="L16" i="8"/>
  <c r="L15" i="8"/>
  <c r="L14" i="8"/>
  <c r="K17" i="8"/>
  <c r="K16" i="8"/>
  <c r="K15" i="8"/>
  <c r="K14" i="8"/>
  <c r="K31" i="8"/>
  <c r="L11" i="8"/>
  <c r="K32" i="8"/>
  <c r="K33" i="8"/>
  <c r="K30" i="8"/>
  <c r="L33" i="8"/>
  <c r="L32" i="8"/>
  <c r="L30" i="8"/>
  <c r="L5" i="8"/>
  <c r="L3" i="8"/>
  <c r="L2" i="8"/>
  <c r="K5" i="8"/>
  <c r="K11" i="8" s="1"/>
  <c r="K4" i="8"/>
  <c r="K3" i="8"/>
  <c r="K2" i="8"/>
  <c r="L31" i="8"/>
  <c r="L4" i="8"/>
  <c r="H29" i="8"/>
  <c r="M33" i="8"/>
  <c r="M32" i="8"/>
  <c r="M31" i="8"/>
  <c r="M30" i="8"/>
  <c r="H3" i="8"/>
  <c r="M3" i="8"/>
  <c r="M4" i="8"/>
  <c r="M5" i="8"/>
  <c r="M2" i="8"/>
  <c r="L34" i="7"/>
  <c r="L18" i="7"/>
  <c r="L22" i="7" s="1"/>
  <c r="L32" i="7"/>
  <c r="L24" i="7"/>
  <c r="L23" i="7"/>
  <c r="L30" i="7"/>
  <c r="L31" i="7"/>
  <c r="L26" i="7"/>
  <c r="L27" i="7"/>
  <c r="K13" i="7"/>
  <c r="L13" i="7"/>
  <c r="M13" i="7"/>
  <c r="K14" i="7"/>
  <c r="L14" i="7"/>
  <c r="M14" i="7"/>
  <c r="K15" i="7"/>
  <c r="L15" i="7"/>
  <c r="M15" i="7"/>
  <c r="K11" i="7"/>
  <c r="L11" i="7"/>
  <c r="M11" i="7"/>
  <c r="L10" i="7"/>
  <c r="K10" i="7"/>
  <c r="K9" i="7"/>
  <c r="L9" i="7"/>
  <c r="M9" i="7"/>
  <c r="M10" i="7"/>
  <c r="K7" i="7"/>
  <c r="L7" i="7"/>
  <c r="M7" i="7"/>
  <c r="K5" i="7"/>
  <c r="L5" i="7"/>
  <c r="M5" i="7"/>
  <c r="K6" i="7"/>
  <c r="L6" i="7"/>
  <c r="M6" i="7"/>
  <c r="L2" i="7"/>
  <c r="K3" i="7"/>
  <c r="L3" i="7"/>
  <c r="M3" i="7"/>
  <c r="M2" i="7"/>
  <c r="K2" i="7"/>
  <c r="L24" i="6"/>
  <c r="L22" i="6"/>
  <c r="L27" i="6"/>
  <c r="L23" i="6"/>
  <c r="L28" i="6"/>
  <c r="L29" i="6"/>
  <c r="L30" i="6"/>
  <c r="L31" i="6"/>
  <c r="L32" i="6"/>
  <c r="M20" i="6"/>
  <c r="K13" i="6"/>
  <c r="L13" i="6"/>
  <c r="K12" i="6"/>
  <c r="L12" i="6"/>
  <c r="L11" i="6"/>
  <c r="K11" i="6"/>
  <c r="K10" i="6"/>
  <c r="L10" i="6"/>
  <c r="M10" i="6"/>
  <c r="K9" i="6"/>
  <c r="L9" i="6"/>
  <c r="M9" i="6"/>
  <c r="K7" i="6"/>
  <c r="L7" i="6"/>
  <c r="M7" i="6"/>
  <c r="K8" i="6"/>
  <c r="L8" i="6"/>
  <c r="M8" i="6"/>
  <c r="L4" i="6"/>
  <c r="K4" i="6"/>
  <c r="M4" i="6"/>
  <c r="K3" i="6"/>
  <c r="L3" i="6"/>
  <c r="M3" i="6"/>
  <c r="L2" i="6"/>
  <c r="K2" i="6"/>
  <c r="M2" i="6"/>
  <c r="K21" i="4"/>
  <c r="L21" i="4"/>
  <c r="M21" i="4"/>
  <c r="K22" i="4"/>
  <c r="L22" i="4"/>
  <c r="M22" i="4"/>
  <c r="K23" i="4"/>
  <c r="L23" i="4"/>
  <c r="M23" i="4"/>
  <c r="L17" i="4"/>
  <c r="K17" i="4"/>
  <c r="M17" i="4"/>
  <c r="K16" i="4"/>
  <c r="L16" i="4"/>
  <c r="M16" i="4"/>
  <c r="K14" i="4"/>
  <c r="L14" i="4"/>
  <c r="M14" i="4"/>
  <c r="K13" i="4"/>
  <c r="L13" i="4"/>
  <c r="M13" i="4"/>
  <c r="K12" i="4"/>
  <c r="L12" i="4"/>
  <c r="M12" i="4"/>
  <c r="K10" i="4"/>
  <c r="L10" i="4"/>
  <c r="M10" i="4"/>
  <c r="K9" i="4"/>
  <c r="L9" i="4"/>
  <c r="M9" i="4"/>
  <c r="K8" i="4"/>
  <c r="L8" i="4"/>
  <c r="M8" i="4"/>
  <c r="K7" i="4"/>
  <c r="L7" i="4"/>
  <c r="M7" i="4"/>
  <c r="K6" i="4"/>
  <c r="L6" i="4"/>
  <c r="M6" i="4"/>
  <c r="K5" i="4"/>
  <c r="L5" i="4"/>
  <c r="M5" i="4"/>
  <c r="K4" i="4"/>
  <c r="L4" i="4"/>
  <c r="M4" i="4"/>
  <c r="K3" i="4"/>
  <c r="L3" i="4"/>
  <c r="M3" i="4"/>
  <c r="L2" i="4"/>
  <c r="K2" i="4"/>
  <c r="M2" i="4"/>
  <c r="L27" i="5"/>
  <c r="L29" i="5"/>
  <c r="L28" i="5"/>
  <c r="L26" i="5"/>
  <c r="L25" i="5"/>
  <c r="L24" i="5"/>
  <c r="L23" i="5"/>
  <c r="L22" i="5"/>
  <c r="M32" i="5"/>
  <c r="M22" i="5"/>
  <c r="L32" i="5"/>
  <c r="L31" i="5"/>
  <c r="M31" i="5"/>
  <c r="M30" i="5"/>
  <c r="L30" i="5"/>
  <c r="M27" i="5"/>
  <c r="M24" i="5"/>
  <c r="N22" i="5"/>
  <c r="M23" i="5"/>
  <c r="M25" i="5"/>
  <c r="N25" i="5"/>
  <c r="M26" i="5"/>
  <c r="M28" i="5"/>
  <c r="N28" i="5"/>
  <c r="M29" i="5"/>
  <c r="N31" i="5"/>
  <c r="L33" i="5"/>
  <c r="M33" i="5"/>
  <c r="M14" i="5"/>
  <c r="L14" i="5"/>
  <c r="N13" i="5"/>
  <c r="M13" i="5"/>
  <c r="L13" i="5"/>
  <c r="N12" i="5"/>
  <c r="M12" i="5"/>
  <c r="L12" i="5"/>
  <c r="N11" i="5"/>
  <c r="M11" i="5"/>
  <c r="L11" i="5"/>
  <c r="N10" i="5"/>
  <c r="M10" i="5"/>
  <c r="L10" i="5"/>
  <c r="N9" i="5"/>
  <c r="M9" i="5"/>
  <c r="L9" i="5"/>
  <c r="N8" i="5"/>
  <c r="M8" i="5"/>
  <c r="L8" i="5"/>
  <c r="N7" i="5"/>
  <c r="M7" i="5"/>
  <c r="M49" i="5" s="1"/>
  <c r="L7" i="5"/>
  <c r="N6" i="5"/>
  <c r="M6" i="5"/>
  <c r="L6" i="5"/>
  <c r="N5" i="5"/>
  <c r="M5" i="5"/>
  <c r="L5" i="5"/>
  <c r="N4" i="5"/>
  <c r="N46" i="5" s="1"/>
  <c r="M4" i="5"/>
  <c r="L4" i="5"/>
  <c r="N3" i="5"/>
  <c r="M3" i="5"/>
  <c r="L3" i="5"/>
  <c r="N2" i="5"/>
  <c r="N41" i="5" s="1"/>
  <c r="M2" i="5"/>
  <c r="M41" i="5" s="1"/>
  <c r="L2" i="5"/>
  <c r="L2" i="3"/>
  <c r="M37" i="3"/>
  <c r="M39" i="3"/>
  <c r="M40" i="3"/>
  <c r="M48" i="3"/>
  <c r="M49" i="3"/>
  <c r="M15" i="3"/>
  <c r="M38" i="3" s="1"/>
  <c r="M31" i="3"/>
  <c r="M32" i="3"/>
  <c r="L15" i="3"/>
  <c r="M14" i="3"/>
  <c r="L14" i="3"/>
  <c r="L13" i="3"/>
  <c r="M11" i="3"/>
  <c r="M34" i="3" s="1"/>
  <c r="L11" i="3"/>
  <c r="N11" i="3"/>
  <c r="L12" i="3"/>
  <c r="M12" i="3"/>
  <c r="M35" i="3" s="1"/>
  <c r="N12" i="3"/>
  <c r="M13" i="3"/>
  <c r="M36" i="3" s="1"/>
  <c r="N13" i="3"/>
  <c r="L3" i="3"/>
  <c r="L10" i="3"/>
  <c r="L9" i="3"/>
  <c r="M9" i="3"/>
  <c r="N9" i="3"/>
  <c r="M10" i="3"/>
  <c r="N10" i="3"/>
  <c r="M4" i="3"/>
  <c r="M8" i="3"/>
  <c r="L8" i="3"/>
  <c r="N8" i="3"/>
  <c r="N7" i="3"/>
  <c r="M7" i="3"/>
  <c r="L7" i="3"/>
  <c r="M6" i="3"/>
  <c r="L6" i="3"/>
  <c r="N6" i="3"/>
  <c r="M5" i="3"/>
  <c r="L5" i="3"/>
  <c r="N5" i="3"/>
  <c r="L4" i="3"/>
  <c r="N4" i="3"/>
  <c r="N3" i="3"/>
  <c r="M3" i="3"/>
  <c r="M2" i="3"/>
  <c r="L21" i="3"/>
  <c r="L39" i="3" s="1"/>
  <c r="N2" i="3"/>
  <c r="L3" i="2"/>
  <c r="M3" i="2"/>
  <c r="M4" i="2"/>
  <c r="M5" i="2"/>
  <c r="M6" i="2"/>
  <c r="M7" i="2"/>
  <c r="M8" i="2"/>
  <c r="M2" i="2"/>
  <c r="M12" i="2" s="1"/>
  <c r="L4" i="2"/>
  <c r="L5" i="2"/>
  <c r="L6" i="2"/>
  <c r="L7" i="2"/>
  <c r="L8" i="2"/>
  <c r="L2" i="2"/>
  <c r="J3" i="2"/>
  <c r="I3" i="2"/>
  <c r="H3" i="2"/>
  <c r="N3" i="2" s="1"/>
  <c r="J11" i="2"/>
  <c r="I11" i="2"/>
  <c r="H11" i="2"/>
  <c r="J10" i="2"/>
  <c r="I10" i="2"/>
  <c r="H10" i="2"/>
  <c r="J9" i="2"/>
  <c r="I9" i="2"/>
  <c r="H9" i="2"/>
  <c r="J8" i="2"/>
  <c r="N8" i="2" s="1"/>
  <c r="I8" i="2"/>
  <c r="H8" i="2"/>
  <c r="J7" i="2"/>
  <c r="I7" i="2"/>
  <c r="N7" i="2" s="1"/>
  <c r="H7" i="2"/>
  <c r="J6" i="2"/>
  <c r="I6" i="2"/>
  <c r="H6" i="2"/>
  <c r="N6" i="2" s="1"/>
  <c r="J5" i="2"/>
  <c r="N5" i="2" s="1"/>
  <c r="I5" i="2"/>
  <c r="H5" i="2"/>
  <c r="J4" i="2"/>
  <c r="I4" i="2"/>
  <c r="N4" i="2" s="1"/>
  <c r="H4" i="2"/>
  <c r="J2" i="2"/>
  <c r="I2" i="2"/>
  <c r="H2" i="2"/>
  <c r="N2" i="2" s="1"/>
  <c r="L46" i="8" l="1"/>
  <c r="L50" i="8"/>
  <c r="L49" i="8"/>
  <c r="L51" i="8"/>
  <c r="L48" i="8"/>
  <c r="K46" i="8"/>
  <c r="K51" i="8" s="1"/>
  <c r="L28" i="7"/>
  <c r="M69" i="5"/>
  <c r="M68" i="5"/>
  <c r="M47" i="5"/>
  <c r="M60" i="5"/>
  <c r="M56" i="5"/>
  <c r="M50" i="5"/>
  <c r="M58" i="5"/>
  <c r="M59" i="5"/>
  <c r="M44" i="5"/>
  <c r="M52" i="5"/>
  <c r="N44" i="5"/>
  <c r="N49" i="5"/>
  <c r="N47" i="5"/>
  <c r="M45" i="5"/>
  <c r="N50" i="5"/>
  <c r="M54" i="5"/>
  <c r="N45" i="5"/>
  <c r="M48" i="5"/>
  <c r="M57" i="5"/>
  <c r="N48" i="5"/>
  <c r="M51" i="5"/>
  <c r="M46" i="5"/>
  <c r="M55" i="5"/>
  <c r="L41" i="5"/>
  <c r="L44" i="5" s="1"/>
  <c r="L34" i="3"/>
  <c r="L36" i="3"/>
  <c r="L35" i="3"/>
  <c r="L38" i="3"/>
  <c r="L37" i="3"/>
  <c r="L40" i="3"/>
  <c r="L31" i="3"/>
  <c r="L32" i="3"/>
  <c r="L27" i="3"/>
  <c r="L26" i="3"/>
  <c r="M21" i="3"/>
  <c r="N21" i="3"/>
  <c r="N12" i="2"/>
  <c r="N20" i="2" s="1"/>
  <c r="M15" i="2"/>
  <c r="M20" i="2"/>
  <c r="M19" i="2"/>
  <c r="M18" i="2"/>
  <c r="M17" i="2"/>
  <c r="M21" i="2"/>
  <c r="L12" i="2"/>
  <c r="L19" i="2" s="1"/>
  <c r="N19" i="2"/>
  <c r="N17" i="2"/>
  <c r="N18" i="2"/>
  <c r="N21" i="2"/>
  <c r="L21" i="2"/>
  <c r="L20" i="2"/>
  <c r="K50" i="8" l="1"/>
  <c r="K48" i="8"/>
  <c r="K49" i="8"/>
  <c r="P20" i="8"/>
  <c r="O20" i="8"/>
  <c r="L46" i="5"/>
  <c r="L48" i="5"/>
  <c r="L51" i="5"/>
  <c r="L49" i="5"/>
  <c r="L57" i="5"/>
  <c r="L55" i="5"/>
  <c r="L52" i="5"/>
  <c r="L59" i="5"/>
  <c r="L58" i="5"/>
  <c r="L45" i="5"/>
  <c r="L47" i="5"/>
  <c r="L60" i="5"/>
  <c r="L54" i="5"/>
  <c r="L50" i="5"/>
  <c r="L56" i="5"/>
  <c r="N25" i="3"/>
  <c r="N26" i="3"/>
  <c r="N29" i="3"/>
  <c r="N27" i="3"/>
  <c r="N28" i="3"/>
  <c r="N30" i="3"/>
  <c r="N24" i="3"/>
  <c r="M26" i="3"/>
  <c r="M27" i="3"/>
  <c r="M28" i="3"/>
  <c r="M25" i="3"/>
  <c r="M29" i="3"/>
  <c r="M30" i="3"/>
  <c r="M24" i="3"/>
  <c r="L25" i="3"/>
  <c r="L24" i="3"/>
  <c r="L30" i="3"/>
  <c r="L29" i="3"/>
  <c r="L28" i="3"/>
  <c r="L17" i="2"/>
  <c r="L18" i="2"/>
  <c r="L15" i="2"/>
  <c r="N15" i="2"/>
</calcChain>
</file>

<file path=xl/sharedStrings.xml><?xml version="1.0" encoding="utf-8"?>
<sst xmlns="http://schemas.openxmlformats.org/spreadsheetml/2006/main" count="226" uniqueCount="119">
  <si>
    <t>Point</t>
  </si>
  <si>
    <t>Real X</t>
  </si>
  <si>
    <t>Real Y</t>
  </si>
  <si>
    <t>Predicted X</t>
  </si>
  <si>
    <t>Predicted Y</t>
  </si>
  <si>
    <t>Predicted Heading</t>
  </si>
  <si>
    <t>Real Heading</t>
  </si>
  <si>
    <t>A1, Pointing at ID2</t>
  </si>
  <si>
    <t>A1 Straight On</t>
  </si>
  <si>
    <t>Comments</t>
  </si>
  <si>
    <t>Only ID2 visible and at quite an angle- very bad.</t>
  </si>
  <si>
    <t>ID selected</t>
  </si>
  <si>
    <t>ID2</t>
  </si>
  <si>
    <t>42.9  </t>
  </si>
  <si>
    <t> -54.2</t>
  </si>
  <si>
    <t>ID1</t>
  </si>
  <si>
    <t>Some angle, pretty good view. Only one tag available.</t>
  </si>
  <si>
    <t>Nice clear beautiful shot of ID2 and nothing else</t>
  </si>
  <si>
    <t>B1, Straight On</t>
  </si>
  <si>
    <t>B1, Pointing at ID1</t>
  </si>
  <si>
    <t>[rotation would cause robot wheels to hit the backboard]</t>
  </si>
  <si>
    <t>C1, Pointing at ID3</t>
  </si>
  <si>
    <t>ID3</t>
  </si>
  <si>
    <t>Angled view of ID3, no other tag visible.</t>
  </si>
  <si>
    <t>[partially recognized tags]</t>
  </si>
  <si>
    <t>ID1 and ID2 visible, ID2 is squashed leftward (sheer)</t>
  </si>
  <si>
    <t>D1, Pointing at ID1</t>
  </si>
  <si>
    <t>A2</t>
  </si>
  <si>
    <t>B2</t>
  </si>
  <si>
    <t>C2</t>
  </si>
  <si>
    <t>D2</t>
  </si>
  <si>
    <t>E2</t>
  </si>
  <si>
    <t>F2</t>
  </si>
  <si>
    <t>G2</t>
  </si>
  <si>
    <t>H2</t>
  </si>
  <si>
    <t>I2</t>
  </si>
  <si>
    <t>Real Heading - ID4 (degrees all)</t>
  </si>
  <si>
    <t>Real Heading - ID5</t>
  </si>
  <si>
    <t>Real Heading - ID6</t>
  </si>
  <si>
    <t>ID4 visible, sheared to the right… in the edge of image. Bad.</t>
  </si>
  <si>
    <t>ID4</t>
  </si>
  <si>
    <t>A2 - Straight On</t>
  </si>
  <si>
    <t>A2 - Pointing At ID4</t>
  </si>
  <si>
    <t>Still sheared, now in the middle of the image.</t>
  </si>
  <si>
    <t>B2 - Straight On</t>
  </si>
  <si>
    <t>ID5</t>
  </si>
  <si>
    <t>Straight on, somewhat sheared-the board center.</t>
  </si>
  <si>
    <t>C2  - Straight On</t>
  </si>
  <si>
    <t>ID6</t>
  </si>
  <si>
    <t>Only ID6 visible- Very little distortion.</t>
  </si>
  <si>
    <t>D2 - Straight On</t>
  </si>
  <si>
    <t>E2 - Straight On</t>
  </si>
  <si>
    <t>4, 5, and 6 visible, 4 sheared right, 5 square, 6 sheared left.</t>
  </si>
  <si>
    <t>F2 - Straight On</t>
  </si>
  <si>
    <t xml:space="preserve">6 in frame center, 5 very left-sheared on edge. </t>
  </si>
  <si>
    <t>G2 - Straight On</t>
  </si>
  <si>
    <t>4 and 5 visible from a distance. Half of 6 visible.</t>
  </si>
  <si>
    <t>Delta X</t>
  </si>
  <si>
    <t>Delta Y</t>
  </si>
  <si>
    <t>Fudge factor?</t>
  </si>
  <si>
    <t>realistic error: sub 0.5</t>
  </si>
  <si>
    <t>Delta H (deg)</t>
  </si>
  <si>
    <t>Delta Y - fudge</t>
  </si>
  <si>
    <t>ID4 visible, sheared to the right… in the center of image. Bad.</t>
  </si>
  <si>
    <t>delta X - fudge</t>
  </si>
  <si>
    <t>delta H - fudge</t>
  </si>
  <si>
    <t>NEW FUDGE FACTOR CALCULATOR</t>
  </si>
  <si>
    <t>FudgeY:</t>
  </si>
  <si>
    <t>FudgeX:</t>
  </si>
  <si>
    <t>FudgeYNew:</t>
  </si>
  <si>
    <t>FudgeXNew:</t>
  </si>
  <si>
    <t>COORD</t>
  </si>
  <si>
    <t>(0, 1)</t>
  </si>
  <si>
    <t>(0, 2)</t>
  </si>
  <si>
    <t>(0, 3)</t>
  </si>
  <si>
    <t>(1, 1)</t>
  </si>
  <si>
    <t>(1, 2)</t>
  </si>
  <si>
    <t>(1, 3)</t>
  </si>
  <si>
    <t>(2, 1)</t>
  </si>
  <si>
    <t>(2, 2)</t>
  </si>
  <si>
    <t>(2, 3)</t>
  </si>
  <si>
    <t>(3, 1)</t>
  </si>
  <si>
    <t>(3, 2)</t>
  </si>
  <si>
    <t>(3, 3)</t>
  </si>
  <si>
    <t>(5, 2)</t>
  </si>
  <si>
    <t>(-4B)</t>
  </si>
  <si>
    <t>(3, 0)</t>
  </si>
  <si>
    <t>(2, 0)</t>
  </si>
  <si>
    <t>(1,0)</t>
  </si>
  <si>
    <t>B(2, 3)</t>
  </si>
  <si>
    <t>B(2, 2)</t>
  </si>
  <si>
    <t>B(2, 1)</t>
  </si>
  <si>
    <t>B(0, 3)</t>
  </si>
  <si>
    <t>Real X (TAG REL)</t>
  </si>
  <si>
    <t>B(1, 3)</t>
  </si>
  <si>
    <t>B(0, 2)</t>
  </si>
  <si>
    <t>B(1, 2)</t>
  </si>
  <si>
    <t>B(0, 1)</t>
  </si>
  <si>
    <t>B(1, 1)</t>
  </si>
  <si>
    <t>Fudge Factor:</t>
  </si>
  <si>
    <t>A(0, 2)</t>
  </si>
  <si>
    <t>B(0,2)</t>
  </si>
  <si>
    <t>B(0,3)</t>
  </si>
  <si>
    <t>B(0,1)</t>
  </si>
  <si>
    <t>AVG Y ERR</t>
  </si>
  <si>
    <t>AVG X ERR -&gt;</t>
  </si>
  <si>
    <t>ADJUSTED Y</t>
  </si>
  <si>
    <t>B1</t>
  </si>
  <si>
    <t>B3</t>
  </si>
  <si>
    <t>B4</t>
  </si>
  <si>
    <t>AVG X ERR</t>
  </si>
  <si>
    <t>SPIKE (B5) - important point</t>
  </si>
  <si>
    <t>R1</t>
  </si>
  <si>
    <t>R2</t>
  </si>
  <si>
    <t>R3</t>
  </si>
  <si>
    <t>R4</t>
  </si>
  <si>
    <t>AVG X Offset</t>
  </si>
  <si>
    <t>AVG Y Offset</t>
  </si>
  <si>
    <t>POINT ERROR WITH OFFSET APPLIED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</si>
</sst>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1"/>
      <color rgb="FF000000"/>
      <name val="Menlo"/>
      <family val="2"/>
    </font>
    <font>
      <sz val="9.8000000000000007"/>
      <color rgb="FF2AACB8"/>
      <name val="JetBrains Mono"/>
      <family val="3"/>
    </font>
    <font>
      <sz val="9.8000000000000007"/>
      <color rgb="FF7A7E85"/>
      <name val="JetBrains Mono"/>
      <family val="3"/>
    </font>
    <font>
      <sz val="11"/>
      <color rgb="FFFFFF00"/>
      <name val="Menlo"/>
      <family val="2"/>
    </font>
    <font>
      <sz val="11"/>
      <color theme="1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2" fillId="0" borderId="0" xfId="0" quotePrefix="1" applyFont="1"/>
    <xf numFmtId="0" fontId="0" fillId="0" borderId="0" xfId="0" quotePrefix="1"/>
    <xf numFmtId="0" fontId="2" fillId="0" borderId="0" xfId="0" applyFont="1" applyProtection="1">
      <protection locked="0"/>
    </xf>
    <xf numFmtId="0" fontId="4" fillId="0" borderId="0" xfId="0" applyFont="1"/>
    <xf numFmtId="0" fontId="5" fillId="2" borderId="0" xfId="0" applyFont="1" applyFill="1"/>
    <xf numFmtId="0" fontId="6" fillId="0" borderId="0" xfId="0" applyFont="1"/>
    <xf numFmtId="0" fontId="5" fillId="0" borderId="0" xfId="0" applyNumberFormat="1" applyFont="1" applyFill="1"/>
    <xf numFmtId="0" fontId="0" fillId="0" borderId="0" xfId="0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E3074-E301-D942-A463-FE881D4CA2EF}">
  <dimension ref="A1:M17"/>
  <sheetViews>
    <sheetView workbookViewId="0">
      <selection sqref="A1:M1"/>
    </sheetView>
  </sheetViews>
  <sheetFormatPr baseColWidth="10" defaultRowHeight="16"/>
  <cols>
    <col min="1" max="1" width="20.6640625" customWidth="1"/>
    <col min="4" max="4" width="18.33203125" customWidth="1"/>
    <col min="5" max="5" width="17.6640625" customWidth="1"/>
    <col min="6" max="6" width="10.83203125" customWidth="1"/>
  </cols>
  <sheetData>
    <row r="1" spans="1:13">
      <c r="A1" t="s">
        <v>0</v>
      </c>
      <c r="B1" t="s">
        <v>11</v>
      </c>
      <c r="C1" t="s">
        <v>3</v>
      </c>
      <c r="D1" t="s">
        <v>4</v>
      </c>
      <c r="E1" t="s">
        <v>5</v>
      </c>
      <c r="F1" t="s">
        <v>1</v>
      </c>
      <c r="G1" t="s">
        <v>2</v>
      </c>
      <c r="H1" t="s">
        <v>6</v>
      </c>
      <c r="M1" t="s">
        <v>9</v>
      </c>
    </row>
    <row r="2" spans="1:13">
      <c r="A2" t="s">
        <v>7</v>
      </c>
      <c r="B2" t="s">
        <v>12</v>
      </c>
      <c r="C2" s="1" t="s">
        <v>13</v>
      </c>
      <c r="D2" s="1" t="s">
        <v>14</v>
      </c>
      <c r="E2" s="1">
        <v>48</v>
      </c>
      <c r="F2" s="1">
        <v>41.75</v>
      </c>
      <c r="G2" s="1">
        <v>55.5</v>
      </c>
      <c r="H2" s="1">
        <v>200</v>
      </c>
      <c r="M2" t="s">
        <v>10</v>
      </c>
    </row>
    <row r="3" spans="1:13">
      <c r="A3" t="s">
        <v>8</v>
      </c>
      <c r="B3" t="s">
        <v>15</v>
      </c>
      <c r="C3" s="1">
        <v>42.9</v>
      </c>
      <c r="D3" s="1">
        <v>-55</v>
      </c>
      <c r="E3" s="1">
        <v>193.8</v>
      </c>
      <c r="F3" s="1">
        <v>41.5</v>
      </c>
      <c r="G3" s="1">
        <v>57.62</v>
      </c>
      <c r="H3" s="1">
        <v>190</v>
      </c>
      <c r="M3" t="s">
        <v>16</v>
      </c>
    </row>
    <row r="4" spans="1:13">
      <c r="A4" t="s">
        <v>18</v>
      </c>
      <c r="B4" t="s">
        <v>12</v>
      </c>
      <c r="C4" s="1">
        <v>35.6</v>
      </c>
      <c r="D4" s="1">
        <v>-55</v>
      </c>
      <c r="E4" s="1">
        <v>180.2</v>
      </c>
      <c r="F4" s="1">
        <v>35.75</v>
      </c>
      <c r="G4" s="1">
        <v>-58</v>
      </c>
      <c r="H4" s="1">
        <v>180</v>
      </c>
      <c r="M4" t="s">
        <v>17</v>
      </c>
    </row>
    <row r="5" spans="1:13">
      <c r="A5" t="s">
        <v>19</v>
      </c>
      <c r="B5" t="s">
        <v>20</v>
      </c>
      <c r="M5" t="s">
        <v>24</v>
      </c>
    </row>
    <row r="6" spans="1:13">
      <c r="A6" t="s">
        <v>21</v>
      </c>
      <c r="B6" t="s">
        <v>22</v>
      </c>
      <c r="C6" s="1">
        <v>28.7</v>
      </c>
      <c r="D6" s="1">
        <v>-54.8</v>
      </c>
      <c r="E6" s="1">
        <v>173.7</v>
      </c>
      <c r="F6" s="1">
        <v>29.125</v>
      </c>
      <c r="G6" s="1">
        <v>57.875</v>
      </c>
      <c r="H6" s="1">
        <v>174</v>
      </c>
      <c r="M6" t="s">
        <v>23</v>
      </c>
    </row>
    <row r="7" spans="1:13">
      <c r="A7" t="s">
        <v>26</v>
      </c>
      <c r="B7" t="s">
        <v>15</v>
      </c>
      <c r="C7" s="1">
        <v>42.6</v>
      </c>
      <c r="D7" s="1">
        <v>-44.5</v>
      </c>
      <c r="E7" s="1">
        <v>185.5</v>
      </c>
      <c r="F7" s="1">
        <v>42.875</v>
      </c>
      <c r="G7" s="1">
        <v>47.5</v>
      </c>
      <c r="H7" s="1">
        <v>183</v>
      </c>
      <c r="M7" t="s">
        <v>25</v>
      </c>
    </row>
    <row r="9" spans="1:13">
      <c r="A9" t="s">
        <v>27</v>
      </c>
      <c r="F9" s="1">
        <v>27.25</v>
      </c>
    </row>
    <row r="10" spans="1:13">
      <c r="A10" t="s">
        <v>28</v>
      </c>
      <c r="F10" s="1">
        <v>34.375</v>
      </c>
    </row>
    <row r="11" spans="1:13">
      <c r="A11" t="s">
        <v>29</v>
      </c>
      <c r="F11" s="1">
        <v>41.625</v>
      </c>
    </row>
    <row r="12" spans="1:13">
      <c r="A12" t="s">
        <v>30</v>
      </c>
      <c r="F12" s="1">
        <v>26.875</v>
      </c>
    </row>
    <row r="13" spans="1:13">
      <c r="A13" t="s">
        <v>31</v>
      </c>
      <c r="F13" s="1">
        <v>34</v>
      </c>
    </row>
    <row r="14" spans="1:13">
      <c r="A14" t="s">
        <v>32</v>
      </c>
      <c r="F14" s="1">
        <v>41.5</v>
      </c>
    </row>
    <row r="15" spans="1:13">
      <c r="A15" t="s">
        <v>33</v>
      </c>
      <c r="F15" s="1">
        <v>26.5625</v>
      </c>
    </row>
    <row r="16" spans="1:13">
      <c r="A16" t="s">
        <v>34</v>
      </c>
      <c r="F16" s="1">
        <v>33.75</v>
      </c>
    </row>
    <row r="17" spans="1:6">
      <c r="A17" t="s">
        <v>35</v>
      </c>
      <c r="F17" s="1">
        <v>41.25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249A-AA8D-F049-BD4E-E239A34687E9}">
  <dimension ref="A1:Q21"/>
  <sheetViews>
    <sheetView workbookViewId="0">
      <selection activeCell="H12" sqref="A1:XFD1048576"/>
    </sheetView>
  </sheetViews>
  <sheetFormatPr baseColWidth="10" defaultRowHeight="16"/>
  <cols>
    <col min="1" max="1" width="16.1640625" customWidth="1"/>
    <col min="5" max="5" width="20.33203125" customWidth="1"/>
    <col min="8" max="8" width="28" customWidth="1"/>
    <col min="9" max="9" width="25.83203125" customWidth="1"/>
    <col min="10" max="10" width="19.33203125" customWidth="1"/>
    <col min="12" max="12" width="11.5" customWidth="1"/>
    <col min="13" max="13" width="16.6640625" customWidth="1"/>
  </cols>
  <sheetData>
    <row r="1" spans="1:17">
      <c r="A1" t="s">
        <v>0</v>
      </c>
      <c r="B1" t="s">
        <v>11</v>
      </c>
      <c r="C1" t="s">
        <v>3</v>
      </c>
      <c r="D1" t="s">
        <v>4</v>
      </c>
      <c r="E1" t="s">
        <v>5</v>
      </c>
      <c r="F1" t="s">
        <v>1</v>
      </c>
      <c r="G1" t="s">
        <v>2</v>
      </c>
      <c r="H1" t="s">
        <v>36</v>
      </c>
      <c r="I1" t="s">
        <v>37</v>
      </c>
      <c r="J1" t="s">
        <v>38</v>
      </c>
      <c r="L1" t="s">
        <v>57</v>
      </c>
      <c r="M1" t="s">
        <v>58</v>
      </c>
      <c r="N1" t="s">
        <v>61</v>
      </c>
      <c r="Q1" t="s">
        <v>9</v>
      </c>
    </row>
    <row r="2" spans="1:17">
      <c r="A2" t="s">
        <v>41</v>
      </c>
      <c r="B2" s="1" t="s">
        <v>40</v>
      </c>
      <c r="C2" s="1">
        <v>-27.9</v>
      </c>
      <c r="D2" s="1">
        <v>-54.6</v>
      </c>
      <c r="E2" s="1">
        <v>181.1</v>
      </c>
      <c r="F2">
        <v>28.5</v>
      </c>
      <c r="G2">
        <v>57</v>
      </c>
      <c r="H2">
        <f>180 + 10</f>
        <v>190</v>
      </c>
      <c r="I2">
        <f>180 + 63</f>
        <v>243</v>
      </c>
      <c r="J2">
        <f xml:space="preserve"> 180 + 74</f>
        <v>254</v>
      </c>
      <c r="L2">
        <f xml:space="preserve"> F2 - ABS(C2)</f>
        <v>0.60000000000000142</v>
      </c>
      <c r="M2">
        <f xml:space="preserve"> G2 - ABS(D2)</f>
        <v>2.3999999999999986</v>
      </c>
      <c r="N2">
        <f xml:space="preserve"> H2 - ABS(E2)</f>
        <v>8.9000000000000057</v>
      </c>
      <c r="Q2" t="s">
        <v>39</v>
      </c>
    </row>
    <row r="3" spans="1:17">
      <c r="A3" t="s">
        <v>42</v>
      </c>
      <c r="B3" s="1" t="s">
        <v>40</v>
      </c>
      <c r="C3" s="1">
        <v>-27.8</v>
      </c>
      <c r="D3" s="1">
        <v>-54.4</v>
      </c>
      <c r="E3" s="1">
        <v>196.7</v>
      </c>
      <c r="F3">
        <v>28.5</v>
      </c>
      <c r="G3">
        <v>57</v>
      </c>
      <c r="H3">
        <f>180 + 10</f>
        <v>190</v>
      </c>
      <c r="I3">
        <f>180 + 63</f>
        <v>243</v>
      </c>
      <c r="J3">
        <f xml:space="preserve"> 180 + 74</f>
        <v>254</v>
      </c>
      <c r="L3">
        <f xml:space="preserve"> F3 - ABS(C3)</f>
        <v>0.69999999999999929</v>
      </c>
      <c r="M3">
        <f t="shared" ref="M3:M8" si="0" xml:space="preserve"> G3 - ABS(D3)</f>
        <v>2.6000000000000014</v>
      </c>
      <c r="N3">
        <f>H3 - ABS(E3)</f>
        <v>-6.6999999999999886</v>
      </c>
      <c r="Q3" t="s">
        <v>63</v>
      </c>
    </row>
    <row r="4" spans="1:17">
      <c r="A4" t="s">
        <v>44</v>
      </c>
      <c r="B4" t="s">
        <v>45</v>
      </c>
      <c r="C4" s="1">
        <v>-35</v>
      </c>
      <c r="D4" s="1">
        <v>-54.7</v>
      </c>
      <c r="E4" s="1">
        <v>180.8</v>
      </c>
      <c r="F4">
        <v>35.5</v>
      </c>
      <c r="G4">
        <v>57</v>
      </c>
      <c r="H4">
        <f>180 - 54</f>
        <v>126</v>
      </c>
      <c r="I4">
        <f>180+7</f>
        <v>187</v>
      </c>
      <c r="J4">
        <f xml:space="preserve"> 180 + 58</f>
        <v>238</v>
      </c>
      <c r="L4">
        <f t="shared" ref="L4:L8" si="1" xml:space="preserve"> F4 - ABS(C4)</f>
        <v>0.5</v>
      </c>
      <c r="M4">
        <f t="shared" si="0"/>
        <v>2.2999999999999972</v>
      </c>
      <c r="N4">
        <f xml:space="preserve"> I4 - E4</f>
        <v>6.1999999999999886</v>
      </c>
      <c r="Q4" t="s">
        <v>43</v>
      </c>
    </row>
    <row r="5" spans="1:17">
      <c r="A5" t="s">
        <v>47</v>
      </c>
      <c r="B5" t="s">
        <v>48</v>
      </c>
      <c r="C5" s="1">
        <v>-40.6</v>
      </c>
      <c r="D5" s="1">
        <v>-54.6</v>
      </c>
      <c r="E5" s="1">
        <v>180</v>
      </c>
      <c r="F5">
        <v>41.25</v>
      </c>
      <c r="G5">
        <v>57</v>
      </c>
      <c r="H5">
        <f>180 - 68</f>
        <v>112</v>
      </c>
      <c r="I5">
        <f>180 - 54</f>
        <v>126</v>
      </c>
      <c r="J5">
        <f>180 + 8</f>
        <v>188</v>
      </c>
      <c r="L5">
        <f t="shared" si="1"/>
        <v>0.64999999999999858</v>
      </c>
      <c r="M5">
        <f t="shared" si="0"/>
        <v>2.3999999999999986</v>
      </c>
      <c r="N5">
        <f xml:space="preserve"> J5 - ABS(E5)</f>
        <v>8</v>
      </c>
      <c r="Q5" t="s">
        <v>46</v>
      </c>
    </row>
    <row r="6" spans="1:17">
      <c r="A6" t="s">
        <v>50</v>
      </c>
      <c r="B6" t="s">
        <v>40</v>
      </c>
      <c r="C6" s="1">
        <v>-28.4</v>
      </c>
      <c r="D6" s="1">
        <v>-45.3</v>
      </c>
      <c r="E6" s="1">
        <v>180</v>
      </c>
      <c r="F6">
        <v>28.5</v>
      </c>
      <c r="G6">
        <v>48</v>
      </c>
      <c r="H6">
        <f>180+6</f>
        <v>186</v>
      </c>
      <c r="I6">
        <f>180 + 29</f>
        <v>209</v>
      </c>
      <c r="J6">
        <f xml:space="preserve"> 180 + 46</f>
        <v>226</v>
      </c>
      <c r="L6">
        <f t="shared" si="1"/>
        <v>0.10000000000000142</v>
      </c>
      <c r="M6">
        <f t="shared" si="0"/>
        <v>2.7000000000000028</v>
      </c>
      <c r="N6">
        <f t="shared" ref="N6" si="2" xml:space="preserve"> H6 - ABS(E6)</f>
        <v>6</v>
      </c>
      <c r="Q6" t="s">
        <v>49</v>
      </c>
    </row>
    <row r="7" spans="1:17">
      <c r="A7" t="s">
        <v>51</v>
      </c>
      <c r="B7" t="s">
        <v>45</v>
      </c>
      <c r="C7" s="1">
        <v>-34.9</v>
      </c>
      <c r="D7" s="1">
        <v>-44.8</v>
      </c>
      <c r="E7" s="1">
        <v>179.3</v>
      </c>
      <c r="F7">
        <v>35.5</v>
      </c>
      <c r="G7">
        <v>48</v>
      </c>
      <c r="H7">
        <f>180 -12</f>
        <v>168</v>
      </c>
      <c r="I7">
        <f>180 + 2</f>
        <v>182</v>
      </c>
      <c r="J7">
        <f>180 + 26</f>
        <v>206</v>
      </c>
      <c r="L7">
        <f t="shared" si="1"/>
        <v>0.60000000000000142</v>
      </c>
      <c r="M7" s="2">
        <f t="shared" si="0"/>
        <v>3.2000000000000028</v>
      </c>
      <c r="N7">
        <f xml:space="preserve"> I7 - ABS(E7)</f>
        <v>2.6999999999999886</v>
      </c>
      <c r="Q7" t="s">
        <v>52</v>
      </c>
    </row>
    <row r="8" spans="1:17">
      <c r="A8" t="s">
        <v>53</v>
      </c>
      <c r="B8" s="1" t="s">
        <v>48</v>
      </c>
      <c r="C8" s="1">
        <v>-40.9</v>
      </c>
      <c r="D8" s="1">
        <v>-45.5</v>
      </c>
      <c r="E8" s="1">
        <v>179.5</v>
      </c>
      <c r="F8">
        <v>41.25</v>
      </c>
      <c r="G8">
        <v>48</v>
      </c>
      <c r="H8">
        <f xml:space="preserve"> 180 - 40</f>
        <v>140</v>
      </c>
      <c r="I8">
        <f>180 - 22</f>
        <v>158</v>
      </c>
      <c r="J8">
        <f>180+5</f>
        <v>185</v>
      </c>
      <c r="L8">
        <f t="shared" si="1"/>
        <v>0.35000000000000142</v>
      </c>
      <c r="M8">
        <f t="shared" si="0"/>
        <v>2.5</v>
      </c>
      <c r="N8">
        <f xml:space="preserve"> J8 - ABS(E8)</f>
        <v>5.5</v>
      </c>
      <c r="Q8" t="s">
        <v>54</v>
      </c>
    </row>
    <row r="9" spans="1:17">
      <c r="A9" t="s">
        <v>55</v>
      </c>
      <c r="F9">
        <v>28.5</v>
      </c>
      <c r="G9">
        <v>38</v>
      </c>
      <c r="H9">
        <f>180 + 4</f>
        <v>184</v>
      </c>
      <c r="I9">
        <f>180 + 17</f>
        <v>197</v>
      </c>
      <c r="J9">
        <f>180 + 30</f>
        <v>210</v>
      </c>
      <c r="Q9" t="s">
        <v>56</v>
      </c>
    </row>
    <row r="10" spans="1:17">
      <c r="A10" t="s">
        <v>34</v>
      </c>
      <c r="F10">
        <v>35.5</v>
      </c>
      <c r="G10">
        <v>38</v>
      </c>
      <c r="H10">
        <f>180-14</f>
        <v>166</v>
      </c>
      <c r="I10">
        <f>180-1</f>
        <v>179</v>
      </c>
      <c r="J10">
        <f>180+13</f>
        <v>193</v>
      </c>
      <c r="M10" t="s">
        <v>59</v>
      </c>
    </row>
    <row r="11" spans="1:17">
      <c r="A11" t="s">
        <v>35</v>
      </c>
      <c r="F11">
        <v>41.25</v>
      </c>
      <c r="G11">
        <v>38</v>
      </c>
      <c r="H11">
        <f>180 - 26</f>
        <v>154</v>
      </c>
      <c r="I11">
        <f>180-15</f>
        <v>165</v>
      </c>
      <c r="J11">
        <f>180+2</f>
        <v>182</v>
      </c>
    </row>
    <row r="12" spans="1:17">
      <c r="L12">
        <f>AVERAGE(L2, L4:L8)</f>
        <v>0.4666666666666674</v>
      </c>
      <c r="M12">
        <f t="shared" ref="M12" si="3">AVERAGE(M2, M4:M8)</f>
        <v>2.5833333333333335</v>
      </c>
      <c r="N12">
        <f>AVERAGE(N2, N4:N8)</f>
        <v>6.2166666666666641</v>
      </c>
      <c r="P12" t="s">
        <v>60</v>
      </c>
    </row>
    <row r="14" spans="1:17">
      <c r="L14" t="s">
        <v>64</v>
      </c>
      <c r="M14" t="s">
        <v>62</v>
      </c>
      <c r="N14" t="s">
        <v>65</v>
      </c>
    </row>
    <row r="15" spans="1:17">
      <c r="L15">
        <f>L2 - $L$12</f>
        <v>0.13333333333333403</v>
      </c>
      <c r="M15">
        <f>2.4 - M12</f>
        <v>-0.18333333333333357</v>
      </c>
      <c r="N15">
        <f>N2 - $N$12</f>
        <v>2.6833333333333416</v>
      </c>
    </row>
    <row r="17" spans="12:14">
      <c r="L17">
        <f t="shared" ref="L17:L21" si="4">L4 - $L$12</f>
        <v>3.3333333333332604E-2</v>
      </c>
      <c r="M17">
        <f>2.3 -M12</f>
        <v>-0.28333333333333366</v>
      </c>
      <c r="N17">
        <f t="shared" ref="N17:N21" si="5">N4 - $N$12</f>
        <v>-1.6666666666675489E-2</v>
      </c>
    </row>
    <row r="18" spans="12:14">
      <c r="L18">
        <f t="shared" si="4"/>
        <v>0.18333333333333118</v>
      </c>
      <c r="M18">
        <f>2.4-M12</f>
        <v>-0.18333333333333357</v>
      </c>
      <c r="N18">
        <f t="shared" si="5"/>
        <v>1.7833333333333359</v>
      </c>
    </row>
    <row r="19" spans="12:14">
      <c r="L19">
        <f>L6 - $L$12</f>
        <v>-0.36666666666666597</v>
      </c>
      <c r="M19">
        <f>2.7-M12</f>
        <v>0.1166666666666667</v>
      </c>
      <c r="N19">
        <f t="shared" si="5"/>
        <v>-0.21666666666666412</v>
      </c>
    </row>
    <row r="20" spans="12:14">
      <c r="L20">
        <f t="shared" si="4"/>
        <v>0.13333333333333403</v>
      </c>
      <c r="M20">
        <f>3.2 - M12</f>
        <v>0.6166666666666667</v>
      </c>
      <c r="N20">
        <f t="shared" si="5"/>
        <v>-3.5166666666666755</v>
      </c>
    </row>
    <row r="21" spans="12:14">
      <c r="L21">
        <f t="shared" si="4"/>
        <v>-0.11666666666666597</v>
      </c>
      <c r="M21">
        <f>2.5 - M12</f>
        <v>-8.3333333333333481E-2</v>
      </c>
      <c r="N21">
        <f t="shared" si="5"/>
        <v>-0.71666666666666412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3638-C337-8141-A9ED-555EF0FD6A27}">
  <dimension ref="B1:Q49"/>
  <sheetViews>
    <sheetView workbookViewId="0">
      <selection sqref="A1:T50"/>
    </sheetView>
  </sheetViews>
  <sheetFormatPr baseColWidth="10" defaultRowHeight="16"/>
  <cols>
    <col min="1" max="1" width="16.1640625" customWidth="1"/>
    <col min="5" max="5" width="20.33203125" customWidth="1"/>
    <col min="8" max="8" width="28" customWidth="1"/>
    <col min="9" max="9" width="25.83203125" customWidth="1"/>
    <col min="10" max="10" width="19.33203125" customWidth="1"/>
    <col min="12" max="12" width="11.5" customWidth="1"/>
    <col min="13" max="13" width="16.6640625" customWidth="1"/>
  </cols>
  <sheetData>
    <row r="1" spans="2:17">
      <c r="C1" t="s">
        <v>3</v>
      </c>
      <c r="D1" t="s">
        <v>4</v>
      </c>
      <c r="F1" t="s">
        <v>1</v>
      </c>
      <c r="G1" t="s">
        <v>2</v>
      </c>
      <c r="L1" t="s">
        <v>57</v>
      </c>
      <c r="M1" t="s">
        <v>58</v>
      </c>
      <c r="N1" t="s">
        <v>61</v>
      </c>
      <c r="Q1" t="s">
        <v>9</v>
      </c>
    </row>
    <row r="2" spans="2:17">
      <c r="B2" s="1"/>
      <c r="C2" s="1">
        <v>-41.9</v>
      </c>
      <c r="D2" s="1">
        <v>-37.6</v>
      </c>
      <c r="E2" s="1"/>
      <c r="F2">
        <v>41.25</v>
      </c>
      <c r="G2">
        <v>38</v>
      </c>
      <c r="L2">
        <f xml:space="preserve"> F2 - ABS(C2)</f>
        <v>-0.64999999999999858</v>
      </c>
      <c r="M2">
        <f xml:space="preserve"> G2 - ABS(D2)</f>
        <v>0.39999999999999858</v>
      </c>
      <c r="N2">
        <f xml:space="preserve"> H2 - ABS(E2)</f>
        <v>0</v>
      </c>
      <c r="Q2" t="s">
        <v>39</v>
      </c>
    </row>
    <row r="3" spans="2:17">
      <c r="B3" s="1"/>
      <c r="C3" s="1">
        <v>-35.5</v>
      </c>
      <c r="D3" s="1">
        <v>-37.4</v>
      </c>
      <c r="E3" s="1"/>
      <c r="F3">
        <v>35.5</v>
      </c>
      <c r="G3">
        <v>38</v>
      </c>
      <c r="L3">
        <f xml:space="preserve"> F3 - ABS(C3)</f>
        <v>0</v>
      </c>
      <c r="M3">
        <f t="shared" ref="M3:N8" si="0" xml:space="preserve"> G3 - ABS(D3)</f>
        <v>0.60000000000000142</v>
      </c>
      <c r="N3">
        <f>H3 - ABS(E3)</f>
        <v>0</v>
      </c>
      <c r="Q3" t="s">
        <v>63</v>
      </c>
    </row>
    <row r="4" spans="2:17">
      <c r="C4" s="1">
        <v>-28.9</v>
      </c>
      <c r="D4" s="1">
        <v>-37.4</v>
      </c>
      <c r="E4" s="1"/>
      <c r="F4">
        <v>28.5</v>
      </c>
      <c r="G4">
        <v>38</v>
      </c>
      <c r="L4">
        <f t="shared" ref="L4:L8" si="1" xml:space="preserve"> F4 - ABS(C4)</f>
        <v>-0.39999999999999858</v>
      </c>
      <c r="M4">
        <f xml:space="preserve"> G4 - ABS(D4)</f>
        <v>0.60000000000000142</v>
      </c>
      <c r="N4">
        <f xml:space="preserve"> I4 - E4</f>
        <v>0</v>
      </c>
      <c r="Q4" t="s">
        <v>43</v>
      </c>
    </row>
    <row r="5" spans="2:17">
      <c r="C5" s="1">
        <v>-29.1</v>
      </c>
      <c r="D5" s="1">
        <v>-47.6</v>
      </c>
      <c r="E5" s="1"/>
      <c r="F5">
        <v>28.5</v>
      </c>
      <c r="G5">
        <v>48</v>
      </c>
      <c r="L5">
        <f t="shared" si="1"/>
        <v>-0.60000000000000142</v>
      </c>
      <c r="M5">
        <f t="shared" si="0"/>
        <v>0.39999999999999858</v>
      </c>
      <c r="N5">
        <f xml:space="preserve"> J5 - ABS(E5)</f>
        <v>0</v>
      </c>
      <c r="Q5" t="s">
        <v>46</v>
      </c>
    </row>
    <row r="6" spans="2:17">
      <c r="C6" s="1">
        <v>-35.700000000000003</v>
      </c>
      <c r="D6" s="1">
        <v>-47.7</v>
      </c>
      <c r="E6" s="1"/>
      <c r="F6">
        <v>35.5</v>
      </c>
      <c r="G6">
        <v>48</v>
      </c>
      <c r="L6">
        <f t="shared" si="1"/>
        <v>-0.20000000000000284</v>
      </c>
      <c r="M6">
        <f t="shared" si="0"/>
        <v>0.29999999999999716</v>
      </c>
      <c r="N6">
        <f t="shared" si="0"/>
        <v>0</v>
      </c>
      <c r="Q6" t="s">
        <v>49</v>
      </c>
    </row>
    <row r="7" spans="2:17">
      <c r="C7" s="1">
        <v>-41.5</v>
      </c>
      <c r="D7" s="1">
        <v>-47.8</v>
      </c>
      <c r="E7" s="1"/>
      <c r="F7">
        <v>41.25</v>
      </c>
      <c r="G7">
        <v>48</v>
      </c>
      <c r="L7">
        <f t="shared" si="1"/>
        <v>-0.25</v>
      </c>
      <c r="M7" s="2">
        <f t="shared" si="0"/>
        <v>0.20000000000000284</v>
      </c>
      <c r="N7">
        <f xml:space="preserve"> I7 - ABS(E7)</f>
        <v>0</v>
      </c>
      <c r="Q7" t="s">
        <v>52</v>
      </c>
    </row>
    <row r="8" spans="2:17">
      <c r="B8" s="1"/>
      <c r="C8" s="1">
        <v>-28.5</v>
      </c>
      <c r="D8" s="1">
        <v>-56.7</v>
      </c>
      <c r="E8" s="1"/>
      <c r="F8">
        <v>28.5</v>
      </c>
      <c r="G8">
        <v>57</v>
      </c>
      <c r="L8">
        <f t="shared" si="1"/>
        <v>0</v>
      </c>
      <c r="M8">
        <f t="shared" si="0"/>
        <v>0.29999999999999716</v>
      </c>
      <c r="N8">
        <f xml:space="preserve"> J8 - ABS(E8)</f>
        <v>0</v>
      </c>
      <c r="Q8" t="s">
        <v>54</v>
      </c>
    </row>
    <row r="9" spans="2:17">
      <c r="C9" s="1">
        <v>-35.4</v>
      </c>
      <c r="D9" s="1">
        <v>-56.9</v>
      </c>
      <c r="F9">
        <v>35.5</v>
      </c>
      <c r="G9">
        <v>57</v>
      </c>
      <c r="L9">
        <f xml:space="preserve"> F9 - ABS(C9)</f>
        <v>0.10000000000000142</v>
      </c>
      <c r="M9">
        <f xml:space="preserve"> G9 - ABS(D9)</f>
        <v>0.10000000000000142</v>
      </c>
      <c r="N9">
        <f xml:space="preserve"> H9 - ABS(E9)</f>
        <v>0</v>
      </c>
      <c r="Q9" t="s">
        <v>56</v>
      </c>
    </row>
    <row r="10" spans="2:17">
      <c r="C10" s="1">
        <v>-41.1</v>
      </c>
      <c r="D10" s="1">
        <v>-56.9</v>
      </c>
      <c r="F10">
        <v>41.25</v>
      </c>
      <c r="G10">
        <v>57</v>
      </c>
      <c r="L10">
        <f xml:space="preserve"> F10 - ABS(C10)</f>
        <v>0.14999999999999858</v>
      </c>
      <c r="M10">
        <f t="shared" ref="M10" si="2" xml:space="preserve"> G10 - ABS(D10)</f>
        <v>0.10000000000000142</v>
      </c>
      <c r="N10">
        <f>H10 - ABS(E10)</f>
        <v>0</v>
      </c>
    </row>
    <row r="11" spans="2:17">
      <c r="C11" s="1">
        <v>-35.5</v>
      </c>
      <c r="D11" s="1">
        <v>-37.6</v>
      </c>
      <c r="F11">
        <v>35.5</v>
      </c>
      <c r="G11">
        <v>38</v>
      </c>
      <c r="L11">
        <f t="shared" ref="L11:L12" si="3" xml:space="preserve"> F11 - ABS(C11)</f>
        <v>0</v>
      </c>
      <c r="M11">
        <f xml:space="preserve"> G11 - ABS(D11)</f>
        <v>0.39999999999999858</v>
      </c>
      <c r="N11">
        <f t="shared" ref="N11:N13" si="4">H11 - ABS(E11)</f>
        <v>0</v>
      </c>
    </row>
    <row r="12" spans="2:17">
      <c r="C12" s="1">
        <v>-29.3</v>
      </c>
      <c r="D12" s="1">
        <v>-37.299999999999997</v>
      </c>
      <c r="F12">
        <v>28.5</v>
      </c>
      <c r="G12">
        <v>38</v>
      </c>
      <c r="L12">
        <f t="shared" si="3"/>
        <v>-0.80000000000000071</v>
      </c>
      <c r="M12">
        <f t="shared" ref="M12:M13" si="5" xml:space="preserve"> G12 - ABS(D12)</f>
        <v>0.70000000000000284</v>
      </c>
      <c r="N12">
        <f t="shared" si="4"/>
        <v>0</v>
      </c>
      <c r="P12" t="s">
        <v>60</v>
      </c>
    </row>
    <row r="13" spans="2:17">
      <c r="C13" s="1">
        <v>-29.3</v>
      </c>
      <c r="D13" s="1">
        <v>-37.4</v>
      </c>
      <c r="F13">
        <v>28.5</v>
      </c>
      <c r="G13">
        <v>38</v>
      </c>
      <c r="L13">
        <f xml:space="preserve"> F13 - ABS(C13)</f>
        <v>-0.80000000000000071</v>
      </c>
      <c r="M13">
        <f t="shared" si="5"/>
        <v>0.60000000000000142</v>
      </c>
      <c r="N13">
        <f t="shared" si="4"/>
        <v>0</v>
      </c>
    </row>
    <row r="14" spans="2:17">
      <c r="C14" s="1">
        <v>-29.1</v>
      </c>
      <c r="D14" s="1">
        <v>-35.1</v>
      </c>
      <c r="F14">
        <v>28.5</v>
      </c>
      <c r="G14">
        <v>36</v>
      </c>
      <c r="L14">
        <f xml:space="preserve"> F14 - ABS(C14)</f>
        <v>-0.60000000000000142</v>
      </c>
      <c r="M14">
        <f xml:space="preserve"> G14 - ABS(D14)</f>
        <v>0.89999999999999858</v>
      </c>
    </row>
    <row r="15" spans="2:17">
      <c r="C15" s="1">
        <v>-20.5</v>
      </c>
      <c r="D15" s="1">
        <v>-37.299999999999997</v>
      </c>
      <c r="F15">
        <v>20.125</v>
      </c>
      <c r="G15">
        <v>37.875</v>
      </c>
      <c r="L15">
        <f>F15 - ABS( C15)</f>
        <v>-0.375</v>
      </c>
      <c r="M15">
        <f>G15 - ABS(D15)</f>
        <v>0.57500000000000284</v>
      </c>
    </row>
    <row r="16" spans="2:17">
      <c r="C16" s="1">
        <v>-44.2</v>
      </c>
      <c r="D16" s="1">
        <v>-35.9</v>
      </c>
    </row>
    <row r="19" spans="12:14">
      <c r="M19" t="s">
        <v>59</v>
      </c>
    </row>
    <row r="21" spans="12:14">
      <c r="L21">
        <f>AVERAGE(L2:L10, L11:L15)</f>
        <v>-0.31607142857142889</v>
      </c>
      <c r="M21">
        <f>AVERAGE(M2:M10)</f>
        <v>0.33333333333333331</v>
      </c>
      <c r="N21">
        <f>AVERAGE(N2, N4:N8)</f>
        <v>0</v>
      </c>
    </row>
    <row r="23" spans="12:14">
      <c r="L23" t="s">
        <v>64</v>
      </c>
      <c r="M23" t="s">
        <v>62</v>
      </c>
      <c r="N23" t="s">
        <v>65</v>
      </c>
    </row>
    <row r="24" spans="12:14">
      <c r="L24">
        <f t="shared" ref="L24:L32" si="6">L2 - $L$21</f>
        <v>-0.33392857142856969</v>
      </c>
      <c r="M24">
        <f>M2 - $M$21</f>
        <v>6.6666666666665264E-2</v>
      </c>
      <c r="N24">
        <f>N2 - $N$21</f>
        <v>0</v>
      </c>
    </row>
    <row r="25" spans="12:14">
      <c r="L25">
        <f t="shared" si="6"/>
        <v>0.31607142857142889</v>
      </c>
      <c r="M25">
        <f t="shared" ref="M25:M40" si="7">M3 - $M$21</f>
        <v>0.26666666666666811</v>
      </c>
      <c r="N25">
        <f t="shared" ref="N25:N30" si="8">N3 - $N$21</f>
        <v>0</v>
      </c>
    </row>
    <row r="26" spans="12:14">
      <c r="L26">
        <f t="shared" si="6"/>
        <v>-8.3928571428569687E-2</v>
      </c>
      <c r="M26">
        <f t="shared" si="7"/>
        <v>0.26666666666666811</v>
      </c>
      <c r="N26">
        <f t="shared" si="8"/>
        <v>0</v>
      </c>
    </row>
    <row r="27" spans="12:14">
      <c r="L27">
        <f t="shared" si="6"/>
        <v>-0.28392857142857253</v>
      </c>
      <c r="M27">
        <f t="shared" si="7"/>
        <v>6.6666666666665264E-2</v>
      </c>
      <c r="N27">
        <f t="shared" si="8"/>
        <v>0</v>
      </c>
    </row>
    <row r="28" spans="12:14">
      <c r="L28">
        <f t="shared" si="6"/>
        <v>0.11607142857142605</v>
      </c>
      <c r="M28">
        <f t="shared" si="7"/>
        <v>-3.3333333333336157E-2</v>
      </c>
      <c r="N28">
        <f t="shared" si="8"/>
        <v>0</v>
      </c>
    </row>
    <row r="29" spans="12:14">
      <c r="L29">
        <f t="shared" si="6"/>
        <v>6.6071428571428892E-2</v>
      </c>
      <c r="M29">
        <f t="shared" si="7"/>
        <v>-0.13333333333333047</v>
      </c>
      <c r="N29">
        <f t="shared" si="8"/>
        <v>0</v>
      </c>
    </row>
    <row r="30" spans="12:14">
      <c r="L30">
        <f t="shared" si="6"/>
        <v>0.31607142857142889</v>
      </c>
      <c r="M30">
        <f t="shared" si="7"/>
        <v>-3.3333333333336157E-2</v>
      </c>
      <c r="N30">
        <f t="shared" si="8"/>
        <v>0</v>
      </c>
    </row>
    <row r="31" spans="12:14">
      <c r="L31">
        <f t="shared" si="6"/>
        <v>0.41607142857143031</v>
      </c>
      <c r="M31">
        <f t="shared" si="7"/>
        <v>-0.23333333333333189</v>
      </c>
    </row>
    <row r="32" spans="12:14">
      <c r="L32">
        <f t="shared" si="6"/>
        <v>0.46607142857142747</v>
      </c>
      <c r="M32">
        <f t="shared" si="7"/>
        <v>-0.23333333333333189</v>
      </c>
    </row>
    <row r="34" spans="12:13">
      <c r="L34">
        <f>L11 - $L$21</f>
        <v>0.31607142857142889</v>
      </c>
      <c r="M34">
        <f>M11 - $M$21</f>
        <v>6.6666666666665264E-2</v>
      </c>
    </row>
    <row r="35" spans="12:13">
      <c r="L35">
        <f>L12 - $L$21</f>
        <v>-0.48392857142857182</v>
      </c>
      <c r="M35">
        <f>M12 - $M$21</f>
        <v>0.36666666666666953</v>
      </c>
    </row>
    <row r="36" spans="12:13">
      <c r="L36">
        <f>L13 - $L$21</f>
        <v>-0.48392857142857182</v>
      </c>
      <c r="M36">
        <f>M13 - $M$21</f>
        <v>0.26666666666666811</v>
      </c>
    </row>
    <row r="37" spans="12:13">
      <c r="L37">
        <f>L14 - $L$21</f>
        <v>-0.28392857142857253</v>
      </c>
      <c r="M37">
        <f>M14 - $M$21</f>
        <v>0.56666666666666532</v>
      </c>
    </row>
    <row r="38" spans="12:13">
      <c r="L38">
        <f>L15 - $L$21</f>
        <v>-5.8928571428571108E-2</v>
      </c>
      <c r="M38">
        <f>M15 - $M$21</f>
        <v>0.24166666666666953</v>
      </c>
    </row>
    <row r="39" spans="12:13">
      <c r="L39">
        <f>L17 - $L$21</f>
        <v>0.31607142857142889</v>
      </c>
      <c r="M39">
        <f t="shared" si="7"/>
        <v>-0.33333333333333331</v>
      </c>
    </row>
    <row r="40" spans="12:13">
      <c r="L40">
        <f>L18 - $L$21</f>
        <v>0.31607142857142889</v>
      </c>
      <c r="M40">
        <f t="shared" si="7"/>
        <v>-0.33333333333333331</v>
      </c>
    </row>
    <row r="43" spans="12:13">
      <c r="L43" t="s">
        <v>66</v>
      </c>
    </row>
    <row r="45" spans="12:13">
      <c r="L45" t="s">
        <v>67</v>
      </c>
      <c r="M45" s="3">
        <v>0.47</v>
      </c>
    </row>
    <row r="46" spans="12:13">
      <c r="L46" t="s">
        <v>68</v>
      </c>
      <c r="M46" s="3">
        <v>2.58</v>
      </c>
    </row>
    <row r="48" spans="12:13">
      <c r="L48" t="s">
        <v>69</v>
      </c>
      <c r="M48">
        <f>M45+M21</f>
        <v>0.80333333333333323</v>
      </c>
    </row>
    <row r="49" spans="12:13">
      <c r="L49" t="s">
        <v>70</v>
      </c>
      <c r="M49">
        <f>M46+M21</f>
        <v>2.9133333333333336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AFFAD-0131-5640-936C-907E0411A2F0}">
  <dimension ref="B1:Q69"/>
  <sheetViews>
    <sheetView workbookViewId="0">
      <selection activeCell="D2" sqref="D2"/>
    </sheetView>
  </sheetViews>
  <sheetFormatPr baseColWidth="10" defaultRowHeight="16"/>
  <sheetData>
    <row r="1" spans="2:17">
      <c r="C1" t="s">
        <v>3</v>
      </c>
      <c r="D1" t="s">
        <v>4</v>
      </c>
      <c r="F1" t="s">
        <v>1</v>
      </c>
      <c r="G1" t="s">
        <v>2</v>
      </c>
      <c r="L1" t="s">
        <v>57</v>
      </c>
      <c r="M1" t="s">
        <v>58</v>
      </c>
      <c r="N1" t="s">
        <v>61</v>
      </c>
      <c r="Q1" t="s">
        <v>9</v>
      </c>
    </row>
    <row r="2" spans="2:17">
      <c r="B2" s="1"/>
      <c r="C2" s="1">
        <v>-41.9</v>
      </c>
      <c r="D2" s="1">
        <v>-37.6</v>
      </c>
      <c r="E2" s="1"/>
      <c r="F2">
        <v>41.25</v>
      </c>
      <c r="G2">
        <v>38</v>
      </c>
      <c r="L2">
        <f xml:space="preserve"> F2 - ABS(C2)</f>
        <v>-0.64999999999999858</v>
      </c>
      <c r="M2">
        <f xml:space="preserve"> G2 - ABS(D2)</f>
        <v>0.39999999999999858</v>
      </c>
      <c r="N2">
        <f xml:space="preserve"> H2 - ABS(E2)</f>
        <v>0</v>
      </c>
      <c r="Q2" t="s">
        <v>39</v>
      </c>
    </row>
    <row r="3" spans="2:17">
      <c r="B3" s="1"/>
      <c r="C3" s="1">
        <v>-35.5</v>
      </c>
      <c r="D3" s="1">
        <v>-37.4</v>
      </c>
      <c r="E3" s="1"/>
      <c r="F3">
        <v>35.5</v>
      </c>
      <c r="G3">
        <v>38</v>
      </c>
      <c r="L3">
        <f xml:space="preserve"> F3 - ABS(C3)</f>
        <v>0</v>
      </c>
      <c r="M3">
        <f t="shared" ref="M3:N8" si="0" xml:space="preserve"> G3 - ABS(D3)</f>
        <v>0.60000000000000142</v>
      </c>
      <c r="N3">
        <f>H3 - ABS(E3)</f>
        <v>0</v>
      </c>
      <c r="Q3" t="s">
        <v>63</v>
      </c>
    </row>
    <row r="4" spans="2:17">
      <c r="C4" s="1">
        <v>-28.9</v>
      </c>
      <c r="D4" s="1">
        <v>-37.4</v>
      </c>
      <c r="E4" s="1"/>
      <c r="F4">
        <v>28.5</v>
      </c>
      <c r="G4">
        <v>38</v>
      </c>
      <c r="L4">
        <f t="shared" ref="L4:L8" si="1" xml:space="preserve"> F4 - ABS(C4)</f>
        <v>-0.39999999999999858</v>
      </c>
      <c r="M4">
        <f xml:space="preserve"> G4 - ABS(D4)</f>
        <v>0.60000000000000142</v>
      </c>
      <c r="N4">
        <f xml:space="preserve"> I4 - E4</f>
        <v>0</v>
      </c>
      <c r="Q4" t="s">
        <v>43</v>
      </c>
    </row>
    <row r="5" spans="2:17">
      <c r="C5" s="1">
        <v>-29.1</v>
      </c>
      <c r="D5" s="1">
        <v>-47.6</v>
      </c>
      <c r="E5" s="1"/>
      <c r="F5">
        <v>28.5</v>
      </c>
      <c r="G5">
        <v>48</v>
      </c>
      <c r="L5">
        <f t="shared" si="1"/>
        <v>-0.60000000000000142</v>
      </c>
      <c r="M5">
        <f t="shared" si="0"/>
        <v>0.39999999999999858</v>
      </c>
      <c r="N5">
        <f xml:space="preserve"> J5 - ABS(E5)</f>
        <v>0</v>
      </c>
      <c r="Q5" t="s">
        <v>46</v>
      </c>
    </row>
    <row r="6" spans="2:17">
      <c r="C6" s="1">
        <v>-35.700000000000003</v>
      </c>
      <c r="D6" s="1">
        <v>-47.7</v>
      </c>
      <c r="E6" s="1"/>
      <c r="F6">
        <v>35.5</v>
      </c>
      <c r="G6">
        <v>48</v>
      </c>
      <c r="L6">
        <f t="shared" si="1"/>
        <v>-0.20000000000000284</v>
      </c>
      <c r="M6">
        <f t="shared" si="0"/>
        <v>0.29999999999999716</v>
      </c>
      <c r="N6">
        <f t="shared" si="0"/>
        <v>0</v>
      </c>
      <c r="Q6" t="s">
        <v>49</v>
      </c>
    </row>
    <row r="7" spans="2:17">
      <c r="C7" s="1">
        <v>-41.5</v>
      </c>
      <c r="D7" s="1">
        <v>-47.8</v>
      </c>
      <c r="E7" s="1"/>
      <c r="F7">
        <v>41.25</v>
      </c>
      <c r="G7">
        <v>48</v>
      </c>
      <c r="L7">
        <f t="shared" si="1"/>
        <v>-0.25</v>
      </c>
      <c r="M7" s="2">
        <f t="shared" si="0"/>
        <v>0.20000000000000284</v>
      </c>
      <c r="N7">
        <f xml:space="preserve"> I7 - ABS(E7)</f>
        <v>0</v>
      </c>
      <c r="Q7" t="s">
        <v>52</v>
      </c>
    </row>
    <row r="8" spans="2:17">
      <c r="B8" s="1"/>
      <c r="C8" s="1">
        <v>-28.5</v>
      </c>
      <c r="D8" s="1">
        <v>-56.7</v>
      </c>
      <c r="E8" s="1"/>
      <c r="F8">
        <v>28.5</v>
      </c>
      <c r="G8">
        <v>57</v>
      </c>
      <c r="L8">
        <f t="shared" si="1"/>
        <v>0</v>
      </c>
      <c r="M8">
        <f t="shared" si="0"/>
        <v>0.29999999999999716</v>
      </c>
      <c r="N8">
        <f xml:space="preserve"> J8 - ABS(E8)</f>
        <v>0</v>
      </c>
      <c r="Q8" t="s">
        <v>54</v>
      </c>
    </row>
    <row r="9" spans="2:17">
      <c r="C9" s="1">
        <v>-35.4</v>
      </c>
      <c r="D9" s="1">
        <v>-56.9</v>
      </c>
      <c r="F9">
        <v>35.5</v>
      </c>
      <c r="G9">
        <v>57</v>
      </c>
      <c r="L9">
        <f xml:space="preserve"> F9 - ABS(C9)</f>
        <v>0.10000000000000142</v>
      </c>
      <c r="M9">
        <f xml:space="preserve"> G9 - ABS(D9)</f>
        <v>0.10000000000000142</v>
      </c>
      <c r="N9">
        <f xml:space="preserve"> H9 - ABS(E9)</f>
        <v>0</v>
      </c>
      <c r="Q9" t="s">
        <v>56</v>
      </c>
    </row>
    <row r="10" spans="2:17">
      <c r="C10" s="1">
        <v>-41.1</v>
      </c>
      <c r="D10" s="1">
        <v>-56.9</v>
      </c>
      <c r="F10">
        <v>41.25</v>
      </c>
      <c r="G10">
        <v>57</v>
      </c>
      <c r="L10">
        <f xml:space="preserve"> F10 - ABS(C10)</f>
        <v>0.14999999999999858</v>
      </c>
      <c r="M10">
        <f t="shared" ref="M10" si="2" xml:space="preserve"> G10 - ABS(D10)</f>
        <v>0.10000000000000142</v>
      </c>
      <c r="N10">
        <f>H10 - ABS(E10)</f>
        <v>0</v>
      </c>
    </row>
    <row r="11" spans="2:17">
      <c r="C11" s="1">
        <v>-35.5</v>
      </c>
      <c r="D11" s="1">
        <v>-37.6</v>
      </c>
      <c r="F11">
        <v>35.5</v>
      </c>
      <c r="G11">
        <v>38</v>
      </c>
      <c r="L11">
        <f t="shared" ref="L11:M13" si="3" xml:space="preserve"> F11 - ABS(C11)</f>
        <v>0</v>
      </c>
      <c r="M11">
        <f xml:space="preserve"> G11 - ABS(D11)</f>
        <v>0.39999999999999858</v>
      </c>
      <c r="N11">
        <f t="shared" ref="N11:N13" si="4">H11 - ABS(E11)</f>
        <v>0</v>
      </c>
    </row>
    <row r="12" spans="2:17">
      <c r="C12" s="1">
        <v>-29.3</v>
      </c>
      <c r="D12" s="1">
        <v>-37.299999999999997</v>
      </c>
      <c r="F12">
        <v>28.5</v>
      </c>
      <c r="G12">
        <v>38</v>
      </c>
      <c r="L12">
        <f t="shared" si="3"/>
        <v>-0.80000000000000071</v>
      </c>
      <c r="M12">
        <f t="shared" si="3"/>
        <v>0.70000000000000284</v>
      </c>
      <c r="N12">
        <f t="shared" si="4"/>
        <v>0</v>
      </c>
      <c r="P12" t="s">
        <v>60</v>
      </c>
    </row>
    <row r="13" spans="2:17">
      <c r="C13" s="1">
        <v>-29.3</v>
      </c>
      <c r="D13" s="1">
        <v>-37.4</v>
      </c>
      <c r="F13">
        <v>28.5</v>
      </c>
      <c r="G13">
        <v>38</v>
      </c>
      <c r="L13">
        <f xml:space="preserve"> F13 - ABS(C13)</f>
        <v>-0.80000000000000071</v>
      </c>
      <c r="M13">
        <f t="shared" si="3"/>
        <v>0.60000000000000142</v>
      </c>
      <c r="N13">
        <f t="shared" si="4"/>
        <v>0</v>
      </c>
    </row>
    <row r="14" spans="2:17">
      <c r="C14" s="1">
        <v>-29.1</v>
      </c>
      <c r="D14" s="1">
        <v>-35.1</v>
      </c>
      <c r="F14">
        <v>28.5</v>
      </c>
      <c r="G14">
        <v>36</v>
      </c>
      <c r="L14">
        <f xml:space="preserve"> F14 - ABS(C14)</f>
        <v>-0.60000000000000142</v>
      </c>
      <c r="M14">
        <f xml:space="preserve"> G14 - ABS(D14)</f>
        <v>0.89999999999999858</v>
      </c>
    </row>
    <row r="15" spans="2:17">
      <c r="C15" s="1">
        <v>-20.5</v>
      </c>
      <c r="D15" s="1">
        <v>-37.299999999999997</v>
      </c>
      <c r="F15">
        <v>20.125</v>
      </c>
      <c r="G15">
        <v>37.875</v>
      </c>
    </row>
    <row r="16" spans="2:17">
      <c r="C16" s="1">
        <v>-44.2</v>
      </c>
      <c r="D16" s="1">
        <v>-35.9</v>
      </c>
    </row>
    <row r="19" spans="3:14">
      <c r="C19" s="1">
        <v>-43.7</v>
      </c>
      <c r="F19">
        <v>41.25</v>
      </c>
    </row>
    <row r="20" spans="3:14">
      <c r="C20" s="1">
        <v>-36</v>
      </c>
      <c r="F20">
        <v>38</v>
      </c>
    </row>
    <row r="22" spans="3:14">
      <c r="C22" s="1">
        <v>-40.5</v>
      </c>
      <c r="D22" s="1">
        <v>-54.3</v>
      </c>
      <c r="F22">
        <v>41.25</v>
      </c>
      <c r="G22">
        <v>57</v>
      </c>
      <c r="L22">
        <f xml:space="preserve"> F22 - ABS(C22)</f>
        <v>0.75</v>
      </c>
      <c r="M22">
        <f xml:space="preserve"> G22 - ABS(D22)</f>
        <v>2.7000000000000028</v>
      </c>
      <c r="N22">
        <f t="shared" ref="N22" si="5">H22 - ABS(E22)</f>
        <v>0</v>
      </c>
    </row>
    <row r="23" spans="3:14">
      <c r="C23" s="1">
        <v>-41.2</v>
      </c>
      <c r="D23" s="1">
        <v>-47.8</v>
      </c>
      <c r="F23" s="1">
        <v>41.25</v>
      </c>
      <c r="G23">
        <v>48</v>
      </c>
      <c r="L23">
        <f t="shared" ref="L23:L32" si="6" xml:space="preserve"> F23 - ABS(C23)</f>
        <v>4.9999999999997158E-2</v>
      </c>
      <c r="M23">
        <f t="shared" ref="M23" si="7" xml:space="preserve"> G23 - ABS(D23)</f>
        <v>0.20000000000000284</v>
      </c>
    </row>
    <row r="24" spans="3:14">
      <c r="C24" s="1">
        <v>-41</v>
      </c>
      <c r="D24" s="1">
        <v>-56.9</v>
      </c>
      <c r="F24">
        <v>41.25</v>
      </c>
      <c r="G24">
        <v>57</v>
      </c>
      <c r="L24">
        <f t="shared" si="6"/>
        <v>0.25</v>
      </c>
      <c r="M24">
        <f xml:space="preserve"> G24 - ABS(D24)</f>
        <v>0.10000000000000142</v>
      </c>
    </row>
    <row r="25" spans="3:14">
      <c r="C25" s="1">
        <v>-35.4</v>
      </c>
      <c r="D25" s="1">
        <v>-56.9</v>
      </c>
      <c r="F25">
        <v>35.5</v>
      </c>
      <c r="G25">
        <v>57</v>
      </c>
      <c r="L25">
        <f t="shared" si="6"/>
        <v>0.10000000000000142</v>
      </c>
      <c r="M25">
        <f t="shared" ref="M25:M26" si="8" xml:space="preserve"> G25 - ABS(D25)</f>
        <v>0.10000000000000142</v>
      </c>
      <c r="N25">
        <f t="shared" ref="N25" si="9">H25 - ABS(E25)</f>
        <v>0</v>
      </c>
    </row>
    <row r="26" spans="3:14">
      <c r="C26" s="1">
        <v>-28.5</v>
      </c>
      <c r="D26" s="1">
        <v>-56.7</v>
      </c>
      <c r="F26">
        <v>28.5</v>
      </c>
      <c r="G26">
        <v>57</v>
      </c>
      <c r="L26">
        <f t="shared" si="6"/>
        <v>0</v>
      </c>
      <c r="M26">
        <f t="shared" si="8"/>
        <v>0.29999999999999716</v>
      </c>
    </row>
    <row r="27" spans="3:14">
      <c r="C27" s="1">
        <v>-28.8</v>
      </c>
      <c r="D27" s="4">
        <v>-47.6</v>
      </c>
      <c r="F27">
        <v>28.5</v>
      </c>
      <c r="G27">
        <v>48</v>
      </c>
      <c r="L27">
        <f t="shared" si="6"/>
        <v>-0.30000000000000071</v>
      </c>
      <c r="M27">
        <f xml:space="preserve"> G27 - ABS(D27)</f>
        <v>0.39999999999999858</v>
      </c>
    </row>
    <row r="28" spans="3:14">
      <c r="C28" s="1">
        <v>-35.6</v>
      </c>
      <c r="D28" s="1">
        <v>-47.6</v>
      </c>
      <c r="F28">
        <v>35.5</v>
      </c>
      <c r="G28">
        <v>48</v>
      </c>
      <c r="L28">
        <f t="shared" si="6"/>
        <v>-0.10000000000000142</v>
      </c>
      <c r="M28">
        <f t="shared" ref="M28:M29" si="10" xml:space="preserve"> G28 - ABS(D28)</f>
        <v>0.39999999999999858</v>
      </c>
      <c r="N28">
        <f t="shared" ref="N28" si="11">H28 - ABS(E28)</f>
        <v>0</v>
      </c>
    </row>
    <row r="29" spans="3:14">
      <c r="C29" s="1">
        <v>-41.2</v>
      </c>
      <c r="D29" s="1">
        <v>-47.8</v>
      </c>
      <c r="F29">
        <v>41.25</v>
      </c>
      <c r="G29">
        <v>48</v>
      </c>
      <c r="L29">
        <f t="shared" si="6"/>
        <v>4.9999999999997158E-2</v>
      </c>
      <c r="M29">
        <f t="shared" si="10"/>
        <v>0.20000000000000284</v>
      </c>
    </row>
    <row r="30" spans="3:14">
      <c r="C30" s="1">
        <v>-41.8</v>
      </c>
      <c r="D30" s="1">
        <v>-37.6</v>
      </c>
      <c r="F30">
        <v>41.25</v>
      </c>
      <c r="G30">
        <v>38</v>
      </c>
      <c r="L30">
        <f t="shared" si="6"/>
        <v>-0.54999999999999716</v>
      </c>
      <c r="M30">
        <f xml:space="preserve"> G30 - ABS(D30)</f>
        <v>0.39999999999999858</v>
      </c>
    </row>
    <row r="31" spans="3:14">
      <c r="C31" s="1">
        <v>-35.799999999999997</v>
      </c>
      <c r="D31" s="1">
        <v>-37.6</v>
      </c>
      <c r="F31">
        <v>35.5</v>
      </c>
      <c r="G31">
        <v>38</v>
      </c>
      <c r="L31">
        <f t="shared" si="6"/>
        <v>-0.29999999999999716</v>
      </c>
      <c r="M31">
        <f xml:space="preserve"> G31 - ABS(D31)</f>
        <v>0.39999999999999858</v>
      </c>
      <c r="N31">
        <f t="shared" ref="N31" si="12">H31 - ABS(E31)</f>
        <v>0</v>
      </c>
    </row>
    <row r="32" spans="3:14">
      <c r="C32" s="4">
        <v>-29.1</v>
      </c>
      <c r="D32" s="4">
        <v>-37.6</v>
      </c>
      <c r="F32">
        <v>0</v>
      </c>
      <c r="G32">
        <v>0</v>
      </c>
      <c r="L32">
        <f t="shared" si="6"/>
        <v>-29.1</v>
      </c>
      <c r="M32">
        <f xml:space="preserve"> G32 - ABS(D32)</f>
        <v>-37.6</v>
      </c>
    </row>
    <row r="33" spans="12:14">
      <c r="L33">
        <f t="shared" ref="L33" si="13">F33 - ABS( C33)</f>
        <v>0</v>
      </c>
      <c r="M33">
        <f t="shared" ref="M33" si="14">G33 - ABS(D33)</f>
        <v>0</v>
      </c>
    </row>
    <row r="39" spans="12:14">
      <c r="M39" t="s">
        <v>59</v>
      </c>
    </row>
    <row r="41" spans="12:14">
      <c r="L41">
        <f>AVERAGE(L2:L10, L11:L15)</f>
        <v>-0.31153846153846187</v>
      </c>
      <c r="M41">
        <f>AVERAGE(M2:M10)</f>
        <v>0.33333333333333331</v>
      </c>
      <c r="N41">
        <f>AVERAGE(N2, N4:N8)</f>
        <v>0</v>
      </c>
    </row>
    <row r="43" spans="12:14">
      <c r="L43" t="s">
        <v>64</v>
      </c>
      <c r="M43" t="s">
        <v>62</v>
      </c>
      <c r="N43" t="s">
        <v>65</v>
      </c>
    </row>
    <row r="44" spans="12:14">
      <c r="L44">
        <f t="shared" ref="L44:L52" si="15">L2 - $L$41</f>
        <v>-0.3384615384615367</v>
      </c>
      <c r="M44">
        <f t="shared" ref="M44:M52" si="16">M2 - $M$41</f>
        <v>6.6666666666665264E-2</v>
      </c>
      <c r="N44">
        <f t="shared" ref="N44:N50" si="17">N2 - $N$41</f>
        <v>0</v>
      </c>
    </row>
    <row r="45" spans="12:14">
      <c r="L45">
        <f t="shared" si="15"/>
        <v>0.31153846153846187</v>
      </c>
      <c r="M45">
        <f t="shared" si="16"/>
        <v>0.26666666666666811</v>
      </c>
      <c r="N45">
        <f t="shared" si="17"/>
        <v>0</v>
      </c>
    </row>
    <row r="46" spans="12:14">
      <c r="L46">
        <f t="shared" si="15"/>
        <v>-8.8461538461536704E-2</v>
      </c>
      <c r="M46">
        <f t="shared" si="16"/>
        <v>0.26666666666666811</v>
      </c>
      <c r="N46">
        <f t="shared" si="17"/>
        <v>0</v>
      </c>
    </row>
    <row r="47" spans="12:14">
      <c r="L47">
        <f t="shared" si="15"/>
        <v>-0.28846153846153955</v>
      </c>
      <c r="M47">
        <f t="shared" si="16"/>
        <v>6.6666666666665264E-2</v>
      </c>
      <c r="N47">
        <f t="shared" si="17"/>
        <v>0</v>
      </c>
    </row>
    <row r="48" spans="12:14">
      <c r="L48">
        <f t="shared" si="15"/>
        <v>0.11153846153845903</v>
      </c>
      <c r="M48">
        <f t="shared" si="16"/>
        <v>-3.3333333333336157E-2</v>
      </c>
      <c r="N48">
        <f t="shared" si="17"/>
        <v>0</v>
      </c>
    </row>
    <row r="49" spans="12:14">
      <c r="L49">
        <f t="shared" si="15"/>
        <v>6.1538461538461875E-2</v>
      </c>
      <c r="M49">
        <f t="shared" si="16"/>
        <v>-0.13333333333333047</v>
      </c>
      <c r="N49">
        <f t="shared" si="17"/>
        <v>0</v>
      </c>
    </row>
    <row r="50" spans="12:14">
      <c r="L50">
        <f t="shared" si="15"/>
        <v>0.31153846153846187</v>
      </c>
      <c r="M50">
        <f t="shared" si="16"/>
        <v>-3.3333333333336157E-2</v>
      </c>
      <c r="N50">
        <f t="shared" si="17"/>
        <v>0</v>
      </c>
    </row>
    <row r="51" spans="12:14">
      <c r="L51">
        <f t="shared" si="15"/>
        <v>0.4115384615384633</v>
      </c>
      <c r="M51">
        <f t="shared" si="16"/>
        <v>-0.23333333333333189</v>
      </c>
    </row>
    <row r="52" spans="12:14">
      <c r="L52">
        <f t="shared" si="15"/>
        <v>0.46153846153846045</v>
      </c>
      <c r="M52">
        <f t="shared" si="16"/>
        <v>-0.23333333333333189</v>
      </c>
    </row>
    <row r="54" spans="12:14">
      <c r="L54">
        <f>L11 - $L$41</f>
        <v>0.31153846153846187</v>
      </c>
      <c r="M54">
        <f>M11 - $M$41</f>
        <v>6.6666666666665264E-2</v>
      </c>
    </row>
    <row r="55" spans="12:14">
      <c r="L55">
        <f>L12 - $L$41</f>
        <v>-0.48846153846153884</v>
      </c>
      <c r="M55">
        <f>M12 - $M$41</f>
        <v>0.36666666666666953</v>
      </c>
    </row>
    <row r="56" spans="12:14">
      <c r="L56">
        <f>L13 - $L$41</f>
        <v>-0.48846153846153884</v>
      </c>
      <c r="M56">
        <f>M13 - $M$41</f>
        <v>0.26666666666666811</v>
      </c>
    </row>
    <row r="57" spans="12:14">
      <c r="L57">
        <f>L14 - $L$41</f>
        <v>-0.28846153846153955</v>
      </c>
      <c r="M57">
        <f>M14 - $M$41</f>
        <v>0.56666666666666532</v>
      </c>
    </row>
    <row r="58" spans="12:14">
      <c r="L58">
        <f>L15 - $L$41</f>
        <v>0.31153846153846187</v>
      </c>
      <c r="M58">
        <f>M15 - $M$41</f>
        <v>-0.33333333333333331</v>
      </c>
    </row>
    <row r="59" spans="12:14">
      <c r="L59">
        <f>L17 - $L$41</f>
        <v>0.31153846153846187</v>
      </c>
      <c r="M59">
        <f>M17 - $M$41</f>
        <v>-0.33333333333333331</v>
      </c>
    </row>
    <row r="60" spans="12:14">
      <c r="L60">
        <f>L18 - $L$41</f>
        <v>0.31153846153846187</v>
      </c>
      <c r="M60">
        <f>M18 - $M$41</f>
        <v>-0.33333333333333331</v>
      </c>
    </row>
    <row r="63" spans="12:14">
      <c r="L63" t="s">
        <v>66</v>
      </c>
    </row>
    <row r="65" spans="12:13">
      <c r="L65" t="s">
        <v>67</v>
      </c>
      <c r="M65" s="3">
        <v>0.47</v>
      </c>
    </row>
    <row r="66" spans="12:13">
      <c r="L66" t="s">
        <v>68</v>
      </c>
      <c r="M66" s="3">
        <v>2.58</v>
      </c>
    </row>
    <row r="68" spans="12:13">
      <c r="L68" t="s">
        <v>69</v>
      </c>
      <c r="M68">
        <f>M65+M41</f>
        <v>0.80333333333333323</v>
      </c>
    </row>
    <row r="69" spans="12:13">
      <c r="L69" t="s">
        <v>70</v>
      </c>
      <c r="M69">
        <f>M66+M41</f>
        <v>2.9133333333333336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AEF31-204C-EF4F-9548-47B3CC48B309}">
  <dimension ref="A1:M23"/>
  <sheetViews>
    <sheetView workbookViewId="0">
      <selection activeCell="K9" sqref="K9"/>
    </sheetView>
  </sheetViews>
  <sheetFormatPr baseColWidth="10" defaultRowHeight="16"/>
  <sheetData>
    <row r="1" spans="1:13">
      <c r="A1" t="s">
        <v>71</v>
      </c>
      <c r="B1" t="s">
        <v>3</v>
      </c>
      <c r="C1" t="s">
        <v>4</v>
      </c>
      <c r="E1" t="s">
        <v>1</v>
      </c>
      <c r="F1" t="s">
        <v>2</v>
      </c>
      <c r="K1" t="s">
        <v>57</v>
      </c>
      <c r="L1" t="s">
        <v>58</v>
      </c>
      <c r="M1" t="s">
        <v>61</v>
      </c>
    </row>
    <row r="2" spans="1:13">
      <c r="A2" t="s">
        <v>72</v>
      </c>
      <c r="B2" s="1">
        <v>-28.4</v>
      </c>
      <c r="C2" s="1">
        <v>-56.7</v>
      </c>
      <c r="D2" s="1"/>
      <c r="E2">
        <v>28.5</v>
      </c>
      <c r="F2">
        <v>57</v>
      </c>
      <c r="K2">
        <f t="shared" ref="K2:K10" si="0" xml:space="preserve"> E2 - ABS(B2)</f>
        <v>0.10000000000000142</v>
      </c>
      <c r="L2">
        <f t="shared" ref="L2:L10" si="1" xml:space="preserve"> F2 - ABS(C2)</f>
        <v>0.29999999999999716</v>
      </c>
      <c r="M2">
        <f t="shared" ref="M2:M10" si="2" xml:space="preserve"> G2 - ABS(D2)</f>
        <v>0</v>
      </c>
    </row>
    <row r="3" spans="1:13">
      <c r="A3" t="s">
        <v>73</v>
      </c>
      <c r="B3" s="1">
        <v>-35.4</v>
      </c>
      <c r="C3" s="1">
        <v>-56.9</v>
      </c>
      <c r="E3">
        <v>35.5</v>
      </c>
      <c r="F3">
        <v>57</v>
      </c>
      <c r="K3">
        <f t="shared" si="0"/>
        <v>0.10000000000000142</v>
      </c>
      <c r="L3">
        <f t="shared" si="1"/>
        <v>0.10000000000000142</v>
      </c>
      <c r="M3">
        <f t="shared" si="2"/>
        <v>0</v>
      </c>
    </row>
    <row r="4" spans="1:13">
      <c r="A4" t="s">
        <v>74</v>
      </c>
      <c r="B4" s="1">
        <v>-41.1</v>
      </c>
      <c r="C4" s="1">
        <v>-56.9</v>
      </c>
      <c r="E4">
        <v>41.25</v>
      </c>
      <c r="F4">
        <v>57</v>
      </c>
      <c r="K4">
        <f t="shared" si="0"/>
        <v>0.14999999999999858</v>
      </c>
      <c r="L4">
        <f t="shared" si="1"/>
        <v>0.10000000000000142</v>
      </c>
      <c r="M4">
        <f t="shared" si="2"/>
        <v>0</v>
      </c>
    </row>
    <row r="5" spans="1:13">
      <c r="A5" t="s">
        <v>75</v>
      </c>
      <c r="B5" s="1">
        <v>-28.9</v>
      </c>
      <c r="C5" s="1">
        <v>-47.5</v>
      </c>
      <c r="E5">
        <v>28.5</v>
      </c>
      <c r="F5">
        <v>48</v>
      </c>
      <c r="K5">
        <f t="shared" si="0"/>
        <v>-0.39999999999999858</v>
      </c>
      <c r="L5">
        <f t="shared" si="1"/>
        <v>0.5</v>
      </c>
      <c r="M5">
        <f t="shared" si="2"/>
        <v>0</v>
      </c>
    </row>
    <row r="6" spans="1:13">
      <c r="A6" t="s">
        <v>76</v>
      </c>
      <c r="B6" s="1">
        <v>-35.700000000000003</v>
      </c>
      <c r="C6" s="1">
        <v>-47.7</v>
      </c>
      <c r="E6">
        <v>35.5</v>
      </c>
      <c r="F6">
        <v>48</v>
      </c>
      <c r="K6">
        <f t="shared" si="0"/>
        <v>-0.20000000000000284</v>
      </c>
      <c r="L6">
        <f t="shared" si="1"/>
        <v>0.29999999999999716</v>
      </c>
      <c r="M6">
        <f t="shared" si="2"/>
        <v>0</v>
      </c>
    </row>
    <row r="7" spans="1:13">
      <c r="A7" t="s">
        <v>77</v>
      </c>
      <c r="B7" s="1">
        <v>-41.3</v>
      </c>
      <c r="C7" s="1">
        <v>-47.7</v>
      </c>
      <c r="E7">
        <v>41.25</v>
      </c>
      <c r="F7">
        <v>48</v>
      </c>
      <c r="K7">
        <f t="shared" si="0"/>
        <v>-4.9999999999997158E-2</v>
      </c>
      <c r="L7">
        <f t="shared" si="1"/>
        <v>0.29999999999999716</v>
      </c>
      <c r="M7">
        <f t="shared" si="2"/>
        <v>0</v>
      </c>
    </row>
    <row r="8" spans="1:13">
      <c r="A8" t="s">
        <v>78</v>
      </c>
      <c r="B8" s="1">
        <v>-29.1</v>
      </c>
      <c r="C8" s="1">
        <v>-37.4</v>
      </c>
      <c r="E8">
        <v>28.5</v>
      </c>
      <c r="F8">
        <v>38</v>
      </c>
      <c r="K8">
        <f t="shared" si="0"/>
        <v>-0.60000000000000142</v>
      </c>
      <c r="L8">
        <f t="shared" si="1"/>
        <v>0.60000000000000142</v>
      </c>
      <c r="M8">
        <f t="shared" si="2"/>
        <v>0</v>
      </c>
    </row>
    <row r="9" spans="1:13">
      <c r="A9" t="s">
        <v>79</v>
      </c>
      <c r="B9" s="1">
        <v>-35.6</v>
      </c>
      <c r="C9" s="1">
        <v>-37.6</v>
      </c>
      <c r="E9">
        <v>35.5</v>
      </c>
      <c r="F9">
        <v>38</v>
      </c>
      <c r="K9">
        <f t="shared" si="0"/>
        <v>-0.10000000000000142</v>
      </c>
      <c r="L9">
        <f t="shared" si="1"/>
        <v>0.39999999999999858</v>
      </c>
      <c r="M9">
        <f t="shared" si="2"/>
        <v>0</v>
      </c>
    </row>
    <row r="10" spans="1:13">
      <c r="A10" t="s">
        <v>80</v>
      </c>
      <c r="B10" s="1">
        <v>-41.3</v>
      </c>
      <c r="C10" s="1">
        <v>-37.6</v>
      </c>
      <c r="E10">
        <v>41.25</v>
      </c>
      <c r="F10">
        <v>38</v>
      </c>
      <c r="K10">
        <f t="shared" si="0"/>
        <v>-4.9999999999997158E-2</v>
      </c>
      <c r="L10">
        <f t="shared" si="1"/>
        <v>0.39999999999999858</v>
      </c>
      <c r="M10">
        <f t="shared" si="2"/>
        <v>0</v>
      </c>
    </row>
    <row r="12" spans="1:13">
      <c r="A12" t="s">
        <v>81</v>
      </c>
      <c r="B12" s="1">
        <v>-29.3</v>
      </c>
      <c r="C12" s="1">
        <v>-27.2</v>
      </c>
      <c r="E12">
        <v>28.5</v>
      </c>
      <c r="F12">
        <v>28</v>
      </c>
      <c r="K12">
        <f t="shared" ref="K12" si="3" xml:space="preserve"> E12 - ABS(B12)</f>
        <v>-0.80000000000000071</v>
      </c>
      <c r="L12">
        <f t="shared" ref="L12" si="4" xml:space="preserve"> F12 - ABS(C12)</f>
        <v>0.80000000000000071</v>
      </c>
      <c r="M12">
        <f t="shared" ref="M12" si="5" xml:space="preserve"> G12 - ABS(D12)</f>
        <v>0</v>
      </c>
    </row>
    <row r="13" spans="1:13">
      <c r="A13" t="s">
        <v>82</v>
      </c>
      <c r="B13" s="1">
        <v>-36.299999999999997</v>
      </c>
      <c r="C13" s="1">
        <v>-27.4</v>
      </c>
      <c r="E13">
        <v>35.5</v>
      </c>
      <c r="F13">
        <v>28</v>
      </c>
      <c r="K13">
        <f t="shared" ref="K13" si="6" xml:space="preserve"> E13 - ABS(B13)</f>
        <v>-0.79999999999999716</v>
      </c>
      <c r="L13">
        <f t="shared" ref="L13" si="7" xml:space="preserve"> F13 - ABS(C13)</f>
        <v>0.60000000000000142</v>
      </c>
      <c r="M13">
        <f t="shared" ref="M13" si="8" xml:space="preserve"> G13 - ABS(D13)</f>
        <v>0</v>
      </c>
    </row>
    <row r="14" spans="1:13">
      <c r="A14" t="s">
        <v>83</v>
      </c>
      <c r="B14" s="1">
        <v>-41.8</v>
      </c>
      <c r="C14" s="1">
        <v>-27.5</v>
      </c>
      <c r="E14">
        <v>41.25</v>
      </c>
      <c r="F14">
        <v>28</v>
      </c>
      <c r="K14">
        <f t="shared" ref="K14" si="9" xml:space="preserve"> E14 - ABS(B14)</f>
        <v>-0.54999999999999716</v>
      </c>
      <c r="L14">
        <f t="shared" ref="L14" si="10" xml:space="preserve"> F14 - ABS(C14)</f>
        <v>0.5</v>
      </c>
      <c r="M14">
        <f t="shared" ref="M14" si="11" xml:space="preserve"> G14 - ABS(D14)</f>
        <v>0</v>
      </c>
    </row>
    <row r="16" spans="1:13">
      <c r="A16" t="s">
        <v>84</v>
      </c>
      <c r="B16" s="1">
        <v>-35.200000000000003</v>
      </c>
      <c r="C16" s="1">
        <v>1.2</v>
      </c>
      <c r="E16">
        <v>35.5</v>
      </c>
      <c r="F16">
        <v>0</v>
      </c>
      <c r="K16">
        <f t="shared" ref="K16" si="12" xml:space="preserve"> E16 - ABS(B16)</f>
        <v>0.29999999999999716</v>
      </c>
      <c r="L16">
        <f t="shared" ref="L16" si="13" xml:space="preserve"> F16 - ABS(C16)</f>
        <v>-1.2</v>
      </c>
      <c r="M16">
        <f t="shared" ref="M16" si="14" xml:space="preserve"> G16 - ABS(D16)</f>
        <v>0</v>
      </c>
    </row>
    <row r="17" spans="1:13">
      <c r="A17" s="5" t="s">
        <v>85</v>
      </c>
      <c r="B17" s="1">
        <v>-35.799999999999997</v>
      </c>
      <c r="C17" s="1">
        <v>-9.1</v>
      </c>
      <c r="E17">
        <v>35.5</v>
      </c>
      <c r="F17">
        <v>10</v>
      </c>
      <c r="K17">
        <f xml:space="preserve"> E17 - ABS(B17)</f>
        <v>-0.29999999999999716</v>
      </c>
      <c r="L17">
        <f xml:space="preserve"> F17 - ABS(C17)</f>
        <v>0.90000000000000036</v>
      </c>
      <c r="M17">
        <f t="shared" ref="M17" si="15" xml:space="preserve"> G17 - ABS(D17)</f>
        <v>0</v>
      </c>
    </row>
    <row r="21" spans="1:13">
      <c r="A21" t="s">
        <v>88</v>
      </c>
      <c r="B21" s="1">
        <v>-17.8</v>
      </c>
      <c r="C21" s="1">
        <v>-48</v>
      </c>
      <c r="E21">
        <v>18</v>
      </c>
      <c r="F21">
        <v>48</v>
      </c>
      <c r="K21">
        <f t="shared" ref="K21:K23" si="16" xml:space="preserve"> E21 - ABS(B21)</f>
        <v>0.19999999999999929</v>
      </c>
      <c r="L21">
        <f t="shared" ref="L21:L23" si="17" xml:space="preserve"> F21 - ABS(C21)</f>
        <v>0</v>
      </c>
      <c r="M21">
        <f t="shared" ref="M21:M23" si="18" xml:space="preserve"> G21 - ABS(D21)</f>
        <v>0</v>
      </c>
    </row>
    <row r="22" spans="1:13">
      <c r="A22" t="s">
        <v>87</v>
      </c>
      <c r="B22" s="1">
        <v>-18.100000000000001</v>
      </c>
      <c r="C22" s="1">
        <v>-37.700000000000003</v>
      </c>
      <c r="E22">
        <v>18</v>
      </c>
      <c r="F22">
        <v>38</v>
      </c>
      <c r="K22">
        <f t="shared" si="16"/>
        <v>-0.10000000000000142</v>
      </c>
      <c r="L22">
        <f t="shared" si="17"/>
        <v>0.29999999999999716</v>
      </c>
      <c r="M22">
        <f t="shared" si="18"/>
        <v>0</v>
      </c>
    </row>
    <row r="23" spans="1:13">
      <c r="A23" t="s">
        <v>86</v>
      </c>
      <c r="B23" s="1">
        <v>-18.3</v>
      </c>
      <c r="C23" s="1">
        <v>-28.5</v>
      </c>
      <c r="E23">
        <v>18</v>
      </c>
      <c r="F23">
        <v>28</v>
      </c>
      <c r="K23">
        <f t="shared" si="16"/>
        <v>-0.30000000000000071</v>
      </c>
      <c r="L23">
        <f t="shared" si="17"/>
        <v>-0.5</v>
      </c>
      <c r="M23">
        <f t="shared" si="18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249CE-14E9-E34F-BB7C-65B8ECA9DC1D}">
  <dimension ref="A1:M32"/>
  <sheetViews>
    <sheetView workbookViewId="0">
      <selection sqref="A1:M2"/>
    </sheetView>
  </sheetViews>
  <sheetFormatPr baseColWidth="10" defaultRowHeight="16"/>
  <sheetData>
    <row r="1" spans="1:13">
      <c r="A1" t="s">
        <v>71</v>
      </c>
      <c r="B1" t="s">
        <v>3</v>
      </c>
      <c r="C1" t="s">
        <v>4</v>
      </c>
      <c r="E1" t="s">
        <v>93</v>
      </c>
      <c r="F1" t="s">
        <v>2</v>
      </c>
      <c r="K1" t="s">
        <v>57</v>
      </c>
      <c r="L1" t="s">
        <v>58</v>
      </c>
      <c r="M1" t="s">
        <v>61</v>
      </c>
    </row>
    <row r="2" spans="1:13">
      <c r="A2" t="s">
        <v>89</v>
      </c>
      <c r="B2" s="1">
        <v>27</v>
      </c>
      <c r="C2" s="1">
        <v>-38.6</v>
      </c>
      <c r="D2" s="1"/>
      <c r="E2">
        <v>28</v>
      </c>
      <c r="F2">
        <v>39</v>
      </c>
      <c r="K2">
        <f t="shared" ref="K2:M4" si="0" xml:space="preserve"> E2 - ABS(B2)</f>
        <v>1</v>
      </c>
      <c r="L2">
        <f t="shared" si="0"/>
        <v>0.39999999999999858</v>
      </c>
      <c r="M2">
        <f t="shared" si="0"/>
        <v>0</v>
      </c>
    </row>
    <row r="3" spans="1:13">
      <c r="A3" t="s">
        <v>90</v>
      </c>
      <c r="B3" s="1">
        <v>34.6</v>
      </c>
      <c r="C3" s="1">
        <v>-38.5</v>
      </c>
      <c r="E3">
        <v>35.5</v>
      </c>
      <c r="F3">
        <v>39</v>
      </c>
      <c r="K3">
        <f t="shared" si="0"/>
        <v>0.89999999999999858</v>
      </c>
      <c r="L3">
        <f t="shared" si="0"/>
        <v>0.5</v>
      </c>
      <c r="M3">
        <f t="shared" si="0"/>
        <v>0</v>
      </c>
    </row>
    <row r="4" spans="1:13">
      <c r="A4" t="s">
        <v>91</v>
      </c>
      <c r="B4" s="1">
        <v>41.7</v>
      </c>
      <c r="C4" s="1">
        <v>-37.799999999999997</v>
      </c>
      <c r="E4">
        <v>43</v>
      </c>
      <c r="F4">
        <v>38.5</v>
      </c>
      <c r="K4">
        <f t="shared" si="0"/>
        <v>1.2999999999999972</v>
      </c>
      <c r="L4">
        <f t="shared" si="0"/>
        <v>0.70000000000000284</v>
      </c>
      <c r="M4">
        <f t="shared" si="0"/>
        <v>0</v>
      </c>
    </row>
    <row r="7" spans="1:13">
      <c r="A7" t="s">
        <v>92</v>
      </c>
      <c r="B7" s="1">
        <v>0.1</v>
      </c>
      <c r="C7" s="1">
        <v>8.6999999999999993</v>
      </c>
      <c r="E7">
        <v>0</v>
      </c>
      <c r="F7">
        <v>8</v>
      </c>
      <c r="K7">
        <f t="shared" ref="K7:K8" si="1" xml:space="preserve"> E7 - ABS(B7)</f>
        <v>-0.1</v>
      </c>
      <c r="L7">
        <f t="shared" ref="L7:L8" si="2" xml:space="preserve"> F7 - ABS(C7)</f>
        <v>-0.69999999999999929</v>
      </c>
      <c r="M7">
        <f t="shared" ref="M7:M8" si="3" xml:space="preserve"> G7 - ABS(D7)</f>
        <v>0</v>
      </c>
    </row>
    <row r="8" spans="1:13">
      <c r="A8" t="s">
        <v>94</v>
      </c>
      <c r="B8" s="1">
        <v>0.1</v>
      </c>
      <c r="C8" s="1">
        <v>14.8</v>
      </c>
      <c r="E8">
        <v>0</v>
      </c>
      <c r="F8">
        <v>14</v>
      </c>
      <c r="K8">
        <f t="shared" si="1"/>
        <v>-0.1</v>
      </c>
      <c r="L8">
        <f t="shared" si="2"/>
        <v>-0.80000000000000071</v>
      </c>
      <c r="M8">
        <f t="shared" si="3"/>
        <v>0</v>
      </c>
    </row>
    <row r="9" spans="1:13">
      <c r="A9" t="s">
        <v>89</v>
      </c>
      <c r="B9" s="1">
        <v>0</v>
      </c>
      <c r="C9" s="1">
        <v>24.9</v>
      </c>
      <c r="E9">
        <v>0</v>
      </c>
      <c r="F9">
        <v>24</v>
      </c>
      <c r="K9">
        <f t="shared" ref="K9" si="4" xml:space="preserve"> E9 - ABS(B9)</f>
        <v>0</v>
      </c>
      <c r="L9">
        <f t="shared" ref="L9" si="5" xml:space="preserve"> F9 - ABS(C9)</f>
        <v>-0.89999999999999858</v>
      </c>
      <c r="M9">
        <f t="shared" ref="M9" si="6" xml:space="preserve"> G9 - ABS(D9)</f>
        <v>0</v>
      </c>
    </row>
    <row r="10" spans="1:13">
      <c r="A10" t="s">
        <v>95</v>
      </c>
      <c r="B10" s="1">
        <v>0.1</v>
      </c>
      <c r="C10" s="1">
        <v>8.8000000000000007</v>
      </c>
      <c r="E10">
        <v>0</v>
      </c>
      <c r="F10">
        <v>8.25</v>
      </c>
      <c r="K10">
        <f t="shared" ref="K10:K11" si="7" xml:space="preserve"> E10 - ABS(B10)</f>
        <v>-0.1</v>
      </c>
      <c r="L10">
        <f t="shared" ref="L10:L11" si="8" xml:space="preserve"> F10 - ABS(C10)</f>
        <v>-0.55000000000000071</v>
      </c>
      <c r="M10">
        <f t="shared" ref="M10" si="9" xml:space="preserve"> G10 - ABS(D10)</f>
        <v>0</v>
      </c>
    </row>
    <row r="11" spans="1:13">
      <c r="A11" t="s">
        <v>96</v>
      </c>
      <c r="B11" s="1">
        <v>-0.3</v>
      </c>
      <c r="C11" s="1">
        <v>14.9</v>
      </c>
      <c r="E11">
        <v>0</v>
      </c>
      <c r="F11">
        <v>14.25</v>
      </c>
      <c r="K11">
        <f t="shared" si="7"/>
        <v>-0.3</v>
      </c>
      <c r="L11">
        <f t="shared" si="8"/>
        <v>-0.65000000000000036</v>
      </c>
    </row>
    <row r="12" spans="1:13">
      <c r="A12" t="s">
        <v>90</v>
      </c>
      <c r="B12" s="1">
        <v>-0.6</v>
      </c>
      <c r="C12" s="1">
        <v>25</v>
      </c>
      <c r="E12">
        <v>0</v>
      </c>
      <c r="F12">
        <v>24.5</v>
      </c>
      <c r="K12">
        <f t="shared" ref="K12" si="10" xml:space="preserve"> E12 - ABS(B12)</f>
        <v>-0.6</v>
      </c>
      <c r="L12">
        <f t="shared" ref="L12" si="11" xml:space="preserve"> F12 - ABS(C12)</f>
        <v>-0.5</v>
      </c>
    </row>
    <row r="13" spans="1:13">
      <c r="A13" t="s">
        <v>97</v>
      </c>
      <c r="B13" s="1">
        <v>0</v>
      </c>
      <c r="C13" s="1">
        <v>9</v>
      </c>
      <c r="E13">
        <v>0</v>
      </c>
      <c r="F13">
        <v>8</v>
      </c>
      <c r="K13">
        <f t="shared" ref="K13" si="12" xml:space="preserve"> E13 - ABS(B13)</f>
        <v>0</v>
      </c>
      <c r="L13">
        <f t="shared" ref="L13" si="13" xml:space="preserve"> F13 - ABS(C13)</f>
        <v>-1</v>
      </c>
    </row>
    <row r="14" spans="1:13">
      <c r="A14" t="s">
        <v>98</v>
      </c>
      <c r="B14" s="1">
        <v>0.1</v>
      </c>
      <c r="C14" s="1">
        <v>15</v>
      </c>
      <c r="E14">
        <v>0</v>
      </c>
      <c r="F14">
        <v>14</v>
      </c>
    </row>
    <row r="16" spans="1:13">
      <c r="L16" t="s">
        <v>99</v>
      </c>
    </row>
    <row r="20" spans="12:13">
      <c r="L20">
        <v>1</v>
      </c>
      <c r="M20">
        <f>AVERAGE(L2:L4, L7:L13)</f>
        <v>-0.34999999999999981</v>
      </c>
    </row>
    <row r="22" spans="12:13">
      <c r="L22">
        <f>L2-$M$20</f>
        <v>0.74999999999999845</v>
      </c>
    </row>
    <row r="23" spans="12:13">
      <c r="L23">
        <f t="shared" ref="L23:L32" si="14">L3-$M$20</f>
        <v>0.84999999999999987</v>
      </c>
    </row>
    <row r="24" spans="12:13">
      <c r="L24">
        <f>L4-$M$20</f>
        <v>1.0500000000000027</v>
      </c>
    </row>
    <row r="27" spans="12:13">
      <c r="L27">
        <f>L7-$M$20</f>
        <v>-0.34999999999999948</v>
      </c>
    </row>
    <row r="28" spans="12:13">
      <c r="L28">
        <f t="shared" si="14"/>
        <v>-0.4500000000000009</v>
      </c>
    </row>
    <row r="29" spans="12:13">
      <c r="L29">
        <f t="shared" si="14"/>
        <v>-0.54999999999999871</v>
      </c>
    </row>
    <row r="30" spans="12:13">
      <c r="L30">
        <f t="shared" si="14"/>
        <v>-0.2000000000000009</v>
      </c>
    </row>
    <row r="31" spans="12:13">
      <c r="L31">
        <f t="shared" si="14"/>
        <v>-0.30000000000000054</v>
      </c>
    </row>
    <row r="32" spans="12:13">
      <c r="L32">
        <f t="shared" si="14"/>
        <v>-0.15000000000000019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77923-39D9-144B-B71F-E88B807B65F3}">
  <dimension ref="A1:M34"/>
  <sheetViews>
    <sheetView workbookViewId="0">
      <selection activeCell="B4" sqref="B4"/>
    </sheetView>
  </sheetViews>
  <sheetFormatPr baseColWidth="10" defaultRowHeight="16"/>
  <sheetData>
    <row r="1" spans="1:13">
      <c r="A1" t="s">
        <v>71</v>
      </c>
      <c r="B1" t="s">
        <v>3</v>
      </c>
      <c r="C1" t="s">
        <v>4</v>
      </c>
      <c r="E1" t="s">
        <v>93</v>
      </c>
      <c r="F1" t="s">
        <v>2</v>
      </c>
      <c r="K1" t="s">
        <v>57</v>
      </c>
      <c r="L1" t="s">
        <v>58</v>
      </c>
      <c r="M1" t="s">
        <v>61</v>
      </c>
    </row>
    <row r="2" spans="1:13">
      <c r="A2" t="s">
        <v>95</v>
      </c>
      <c r="B2" s="1">
        <v>27</v>
      </c>
      <c r="C2" s="1">
        <v>-38.6</v>
      </c>
      <c r="D2" s="1"/>
      <c r="E2" s="1">
        <v>34.9</v>
      </c>
      <c r="F2" s="1">
        <v>55.5</v>
      </c>
      <c r="K2">
        <f t="shared" ref="K2:M2" si="0" xml:space="preserve"> E2 - ABS(B2)</f>
        <v>7.8999999999999986</v>
      </c>
      <c r="L2">
        <f xml:space="preserve"> F2 - ABS(C2)</f>
        <v>16.899999999999999</v>
      </c>
      <c r="M2">
        <f t="shared" si="0"/>
        <v>0</v>
      </c>
    </row>
    <row r="3" spans="1:13">
      <c r="A3" t="s">
        <v>100</v>
      </c>
      <c r="B3" s="1">
        <v>-35.299999999999997</v>
      </c>
      <c r="C3" s="1">
        <v>-56.8</v>
      </c>
      <c r="E3">
        <v>35.5</v>
      </c>
      <c r="F3">
        <v>57</v>
      </c>
      <c r="K3">
        <f t="shared" ref="K3" si="1" xml:space="preserve"> E3 - ABS(B3)</f>
        <v>0.20000000000000284</v>
      </c>
      <c r="L3">
        <f t="shared" ref="L3" si="2" xml:space="preserve"> F3 - ABS(C3)</f>
        <v>0.20000000000000284</v>
      </c>
      <c r="M3">
        <f t="shared" ref="M3" si="3" xml:space="preserve"> G3 - ABS(D3)</f>
        <v>0</v>
      </c>
    </row>
    <row r="5" spans="1:13">
      <c r="A5" t="s">
        <v>101</v>
      </c>
      <c r="B5" s="1">
        <v>35.6</v>
      </c>
      <c r="C5" s="1">
        <v>-51.4</v>
      </c>
      <c r="E5" s="1">
        <v>35.5</v>
      </c>
      <c r="F5" s="1">
        <v>55.5</v>
      </c>
      <c r="K5">
        <f t="shared" ref="K5:K6" si="4" xml:space="preserve"> E5 - ABS(B5)</f>
        <v>-0.10000000000000142</v>
      </c>
      <c r="L5">
        <f t="shared" ref="L5:L6" si="5" xml:space="preserve"> F5 - ABS(C5)</f>
        <v>4.1000000000000014</v>
      </c>
      <c r="M5">
        <f t="shared" ref="M5:M6" si="6" xml:space="preserve"> G5 - ABS(D5)</f>
        <v>0</v>
      </c>
    </row>
    <row r="6" spans="1:13">
      <c r="A6" t="s">
        <v>102</v>
      </c>
      <c r="B6" s="1">
        <v>29.6</v>
      </c>
      <c r="C6" s="1">
        <v>-51.6</v>
      </c>
      <c r="E6">
        <v>29.5</v>
      </c>
      <c r="F6">
        <v>55.5</v>
      </c>
      <c r="K6">
        <f t="shared" si="4"/>
        <v>-0.10000000000000142</v>
      </c>
      <c r="L6">
        <f t="shared" si="5"/>
        <v>3.8999999999999986</v>
      </c>
      <c r="M6">
        <f t="shared" si="6"/>
        <v>0</v>
      </c>
    </row>
    <row r="7" spans="1:13">
      <c r="A7" t="s">
        <v>103</v>
      </c>
      <c r="B7" s="1">
        <v>41.5</v>
      </c>
      <c r="C7" s="1">
        <v>-51.5</v>
      </c>
      <c r="E7">
        <v>41.5</v>
      </c>
      <c r="F7">
        <v>55.5</v>
      </c>
      <c r="K7">
        <f t="shared" ref="K7" si="7" xml:space="preserve"> E7 - ABS(B7)</f>
        <v>0</v>
      </c>
      <c r="L7">
        <f t="shared" ref="L7" si="8" xml:space="preserve"> F7 - ABS(C7)</f>
        <v>4</v>
      </c>
      <c r="M7">
        <f t="shared" ref="M7" si="9" xml:space="preserve"> G7 - ABS(D7)</f>
        <v>0</v>
      </c>
    </row>
    <row r="9" spans="1:13">
      <c r="A9" t="s">
        <v>94</v>
      </c>
      <c r="B9" s="1">
        <v>29.7</v>
      </c>
      <c r="C9" s="1">
        <v>-45.2</v>
      </c>
      <c r="E9">
        <v>29.5</v>
      </c>
      <c r="F9" s="1">
        <v>48.5</v>
      </c>
      <c r="K9">
        <f xml:space="preserve"> E9 - ABS(B9)</f>
        <v>-0.19999999999999929</v>
      </c>
      <c r="L9">
        <f t="shared" ref="L9" si="10" xml:space="preserve"> F9 - ABS(C9)</f>
        <v>3.2999999999999972</v>
      </c>
      <c r="M9">
        <f t="shared" ref="M9:M10" si="11" xml:space="preserve"> G9 - ABS(D9)</f>
        <v>0</v>
      </c>
    </row>
    <row r="10" spans="1:13">
      <c r="A10" t="s">
        <v>96</v>
      </c>
      <c r="B10" s="1">
        <v>35.6</v>
      </c>
      <c r="C10" s="1">
        <v>-45.3</v>
      </c>
      <c r="E10">
        <v>35.5</v>
      </c>
      <c r="F10" s="1">
        <v>48.5</v>
      </c>
      <c r="K10">
        <f xml:space="preserve"> E10 - ABS(B10)</f>
        <v>-0.10000000000000142</v>
      </c>
      <c r="L10">
        <f xml:space="preserve"> F10 - ABS(C10)</f>
        <v>3.2000000000000028</v>
      </c>
      <c r="M10">
        <f t="shared" si="11"/>
        <v>0</v>
      </c>
    </row>
    <row r="11" spans="1:13">
      <c r="A11" t="s">
        <v>98</v>
      </c>
      <c r="B11" s="1">
        <v>41.3</v>
      </c>
      <c r="C11" s="1">
        <v>-45.5</v>
      </c>
      <c r="E11">
        <v>41.5</v>
      </c>
      <c r="F11" s="6">
        <v>48.5</v>
      </c>
      <c r="K11">
        <f xml:space="preserve"> E11 - ABS(B11)</f>
        <v>0.20000000000000284</v>
      </c>
      <c r="L11">
        <f xml:space="preserve"> F11 - ABS(C11)</f>
        <v>3</v>
      </c>
      <c r="M11">
        <f t="shared" ref="M11" si="12" xml:space="preserve"> G11 - ABS(D11)</f>
        <v>0</v>
      </c>
    </row>
    <row r="13" spans="1:13">
      <c r="A13" t="s">
        <v>91</v>
      </c>
      <c r="B13" s="1">
        <v>41.5</v>
      </c>
      <c r="C13" s="1">
        <v>-35.4</v>
      </c>
      <c r="E13">
        <v>41.5</v>
      </c>
      <c r="F13">
        <v>38.5</v>
      </c>
      <c r="K13">
        <f t="shared" ref="K13:K15" si="13" xml:space="preserve"> E13 - ABS(B13)</f>
        <v>0</v>
      </c>
      <c r="L13">
        <f t="shared" ref="L13:L15" si="14" xml:space="preserve"> F13 - ABS(C13)</f>
        <v>3.1000000000000014</v>
      </c>
      <c r="M13">
        <f t="shared" ref="M13:M15" si="15" xml:space="preserve"> G13 - ABS(D13)</f>
        <v>0</v>
      </c>
    </row>
    <row r="14" spans="1:13">
      <c r="A14" t="s">
        <v>90</v>
      </c>
      <c r="B14" s="1">
        <v>35.1</v>
      </c>
      <c r="C14" s="1">
        <v>-35.299999999999997</v>
      </c>
      <c r="E14">
        <v>35.5</v>
      </c>
      <c r="F14">
        <v>38.5</v>
      </c>
      <c r="K14">
        <f t="shared" si="13"/>
        <v>0.39999999999999858</v>
      </c>
      <c r="L14">
        <f t="shared" si="14"/>
        <v>3.2000000000000028</v>
      </c>
      <c r="M14">
        <f t="shared" si="15"/>
        <v>0</v>
      </c>
    </row>
    <row r="15" spans="1:13">
      <c r="A15" t="s">
        <v>89</v>
      </c>
      <c r="B15" s="1">
        <v>29.4</v>
      </c>
      <c r="C15" s="1">
        <v>-35.200000000000003</v>
      </c>
      <c r="E15">
        <v>29.5</v>
      </c>
      <c r="F15">
        <v>38.5</v>
      </c>
      <c r="K15">
        <f t="shared" si="13"/>
        <v>0.10000000000000142</v>
      </c>
      <c r="L15">
        <f t="shared" si="14"/>
        <v>3.2999999999999972</v>
      </c>
      <c r="M15">
        <f t="shared" si="15"/>
        <v>0</v>
      </c>
    </row>
    <row r="17" spans="11:12">
      <c r="K17" t="s">
        <v>105</v>
      </c>
      <c r="L17" t="s">
        <v>104</v>
      </c>
    </row>
    <row r="18" spans="11:12">
      <c r="L18" s="7">
        <f>AVERAGE(L5:L7,L9:L11,L13:L15)</f>
        <v>3.4555555555555557</v>
      </c>
    </row>
    <row r="20" spans="11:12">
      <c r="L20" t="s">
        <v>106</v>
      </c>
    </row>
    <row r="22" spans="11:12">
      <c r="L22">
        <f>L5-$L$18</f>
        <v>0.64444444444444571</v>
      </c>
    </row>
    <row r="23" spans="11:12">
      <c r="L23">
        <f>L6-$L$18</f>
        <v>0.44444444444444287</v>
      </c>
    </row>
    <row r="24" spans="11:12">
      <c r="L24">
        <f>L7-$L$18</f>
        <v>0.54444444444444429</v>
      </c>
    </row>
    <row r="26" spans="11:12">
      <c r="L26">
        <f t="shared" ref="L26:L32" si="16">L9-$L$18</f>
        <v>-0.15555555555555856</v>
      </c>
    </row>
    <row r="27" spans="11:12">
      <c r="L27">
        <f t="shared" si="16"/>
        <v>-0.25555555555555287</v>
      </c>
    </row>
    <row r="28" spans="11:12">
      <c r="L28">
        <f t="shared" si="16"/>
        <v>-0.45555555555555571</v>
      </c>
    </row>
    <row r="30" spans="11:12">
      <c r="L30">
        <f>L13-$L$18</f>
        <v>-0.35555555555555429</v>
      </c>
    </row>
    <row r="31" spans="11:12">
      <c r="L31">
        <f t="shared" si="16"/>
        <v>-0.25555555555555287</v>
      </c>
    </row>
    <row r="32" spans="11:12">
      <c r="L32">
        <f t="shared" si="16"/>
        <v>-0.15555555555555856</v>
      </c>
    </row>
    <row r="34" spans="12:12">
      <c r="L34">
        <f>8.125-7.7</f>
        <v>0.42499999999999982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4BCED-35E7-FE44-9FDA-065FB736E196}">
  <dimension ref="A1:P51"/>
  <sheetViews>
    <sheetView tabSelected="1" zoomScale="83" workbookViewId="0">
      <selection activeCell="F30" sqref="F30"/>
    </sheetView>
  </sheetViews>
  <sheetFormatPr baseColWidth="10" defaultRowHeight="16"/>
  <cols>
    <col min="11" max="11" width="12.5" customWidth="1"/>
    <col min="12" max="12" width="13.6640625" customWidth="1"/>
  </cols>
  <sheetData>
    <row r="1" spans="1:13">
      <c r="A1" t="s">
        <v>71</v>
      </c>
      <c r="B1" t="s">
        <v>3</v>
      </c>
      <c r="C1" t="s">
        <v>4</v>
      </c>
      <c r="E1" t="s">
        <v>93</v>
      </c>
      <c r="F1" t="s">
        <v>2</v>
      </c>
      <c r="K1" t="s">
        <v>57</v>
      </c>
      <c r="L1" t="s">
        <v>58</v>
      </c>
      <c r="M1" t="s">
        <v>61</v>
      </c>
    </row>
    <row r="2" spans="1:13">
      <c r="A2" t="s">
        <v>107</v>
      </c>
      <c r="B2" s="1">
        <v>47.94</v>
      </c>
      <c r="C2" s="1">
        <v>-44.63</v>
      </c>
      <c r="D2" s="1"/>
      <c r="E2" s="8">
        <v>47.5</v>
      </c>
      <c r="F2" s="8">
        <v>47.625</v>
      </c>
      <c r="K2">
        <f xml:space="preserve"> E2 - ABS(B2)</f>
        <v>-0.43999999999999773</v>
      </c>
      <c r="L2">
        <f xml:space="preserve"> F2 - ABS(C2)</f>
        <v>2.9949999999999974</v>
      </c>
      <c r="M2">
        <f t="shared" ref="M2" si="0" xml:space="preserve"> G2 - ABS(D2)</f>
        <v>0</v>
      </c>
    </row>
    <row r="3" spans="1:13">
      <c r="A3" t="s">
        <v>28</v>
      </c>
      <c r="B3" s="1">
        <v>23.66</v>
      </c>
      <c r="C3" s="1">
        <v>-44.53</v>
      </c>
      <c r="D3" s="1"/>
      <c r="E3" s="8">
        <v>23.625</v>
      </c>
      <c r="F3" s="8">
        <v>47.625</v>
      </c>
      <c r="H3">
        <f>5/8</f>
        <v>0.625</v>
      </c>
      <c r="K3">
        <f xml:space="preserve"> E3 - ABS(B3)</f>
        <v>-3.5000000000000142E-2</v>
      </c>
      <c r="L3">
        <f xml:space="preserve"> F3 - ABS(C3)</f>
        <v>3.0949999999999989</v>
      </c>
      <c r="M3">
        <f t="shared" ref="M3:M6" si="1" xml:space="preserve"> G3 - ABS(D3)</f>
        <v>0</v>
      </c>
    </row>
    <row r="4" spans="1:13">
      <c r="A4" t="s">
        <v>108</v>
      </c>
      <c r="B4" s="1">
        <v>48.69</v>
      </c>
      <c r="C4" s="1">
        <v>-20.55</v>
      </c>
      <c r="D4" s="1"/>
      <c r="E4" s="8">
        <v>47.5</v>
      </c>
      <c r="F4" s="8">
        <v>23.875</v>
      </c>
      <c r="K4">
        <f xml:space="preserve"> E4 - ABS(B4)</f>
        <v>-1.1899999999999977</v>
      </c>
      <c r="L4">
        <f xml:space="preserve"> F4 - ABS(C4)</f>
        <v>3.3249999999999993</v>
      </c>
      <c r="M4">
        <f t="shared" si="1"/>
        <v>0</v>
      </c>
    </row>
    <row r="5" spans="1:13">
      <c r="A5" t="s">
        <v>109</v>
      </c>
      <c r="B5" s="1">
        <v>23.26</v>
      </c>
      <c r="C5" s="1">
        <v>-20.350000000000001</v>
      </c>
      <c r="D5" s="1"/>
      <c r="E5" s="8">
        <v>23.75</v>
      </c>
      <c r="F5" s="8">
        <v>23.875</v>
      </c>
      <c r="K5">
        <f xml:space="preserve"> E5 - ABS(B5)</f>
        <v>0.48999999999999844</v>
      </c>
      <c r="L5">
        <f xml:space="preserve"> F5 - ABS(C5)</f>
        <v>3.5249999999999986</v>
      </c>
      <c r="M5">
        <f t="shared" si="1"/>
        <v>0</v>
      </c>
    </row>
    <row r="6" spans="1:13">
      <c r="A6" s="11"/>
      <c r="B6" s="12"/>
      <c r="C6" s="12"/>
      <c r="D6" s="12"/>
      <c r="E6" s="12"/>
      <c r="F6" s="12"/>
      <c r="G6" s="11"/>
      <c r="H6" s="11"/>
      <c r="I6" s="11"/>
      <c r="J6" s="11"/>
      <c r="K6" s="11"/>
      <c r="L6" s="11"/>
      <c r="M6" s="11"/>
    </row>
    <row r="7" spans="1:13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spans="1:13">
      <c r="A8" t="s">
        <v>111</v>
      </c>
      <c r="B8" s="1">
        <v>14.4</v>
      </c>
      <c r="C8" s="1">
        <v>-20.6</v>
      </c>
      <c r="D8" s="1"/>
      <c r="E8" s="1">
        <v>15.625</v>
      </c>
      <c r="F8" s="1">
        <v>23.375</v>
      </c>
      <c r="K8" s="11"/>
      <c r="L8" s="11"/>
      <c r="M8" s="11"/>
    </row>
    <row r="9" spans="1:13">
      <c r="B9" s="1"/>
      <c r="C9" s="1"/>
      <c r="D9" s="1"/>
      <c r="E9" s="1"/>
      <c r="F9" s="1"/>
    </row>
    <row r="10" spans="1:13">
      <c r="B10" s="1"/>
      <c r="C10" s="1"/>
      <c r="D10" s="1"/>
      <c r="E10" s="1"/>
      <c r="F10" s="1"/>
      <c r="K10" t="s">
        <v>116</v>
      </c>
      <c r="L10" t="s">
        <v>117</v>
      </c>
    </row>
    <row r="11" spans="1:13">
      <c r="B11" s="1"/>
      <c r="C11" s="1"/>
      <c r="D11" s="1"/>
      <c r="E11" s="1"/>
      <c r="F11" s="1"/>
      <c r="K11">
        <f>AVERAGE(K2:K5)</f>
        <v>-0.29374999999999929</v>
      </c>
      <c r="L11">
        <f>AVERAGE(L2:L5)</f>
        <v>3.2349999999999985</v>
      </c>
    </row>
    <row r="12" spans="1:13">
      <c r="B12" s="1"/>
      <c r="C12" s="1"/>
      <c r="D12" s="1"/>
      <c r="E12" s="1"/>
      <c r="F12" s="1"/>
    </row>
    <row r="13" spans="1:13">
      <c r="B13" s="1"/>
      <c r="C13" s="1"/>
      <c r="D13" s="1"/>
      <c r="E13" s="10"/>
      <c r="F13" s="10"/>
      <c r="K13" t="s">
        <v>118</v>
      </c>
    </row>
    <row r="14" spans="1:13">
      <c r="K14">
        <f>K2-$K$11</f>
        <v>-0.14624999999999844</v>
      </c>
      <c r="L14">
        <f>L2-$L$11</f>
        <v>-0.2400000000000011</v>
      </c>
    </row>
    <row r="15" spans="1:13">
      <c r="B15" s="1"/>
      <c r="C15" s="1"/>
      <c r="D15" s="1"/>
      <c r="E15" s="9"/>
      <c r="F15" s="9"/>
      <c r="K15">
        <f>K3-$K$11</f>
        <v>0.25874999999999915</v>
      </c>
      <c r="L15">
        <f>L3-$L$11</f>
        <v>-0.13999999999999968</v>
      </c>
    </row>
    <row r="16" spans="1:13">
      <c r="K16">
        <f>K4-$K$11</f>
        <v>-0.89624999999999844</v>
      </c>
      <c r="L16">
        <f>L4-$L$11</f>
        <v>9.0000000000000746E-2</v>
      </c>
    </row>
    <row r="17" spans="1:16">
      <c r="K17">
        <f>K5-$K$11</f>
        <v>0.78374999999999773</v>
      </c>
      <c r="L17">
        <f>L5-$L$11</f>
        <v>0.29000000000000004</v>
      </c>
    </row>
    <row r="20" spans="1:16">
      <c r="O20">
        <f>K46-K11</f>
        <v>0.30625000000000036</v>
      </c>
      <c r="P20">
        <f>L11-L46</f>
        <v>-0.91500000000000092</v>
      </c>
    </row>
    <row r="28" spans="1:16">
      <c r="K28" t="s">
        <v>57</v>
      </c>
      <c r="L28" t="s">
        <v>58</v>
      </c>
      <c r="M28" t="s">
        <v>61</v>
      </c>
    </row>
    <row r="29" spans="1:16">
      <c r="H29">
        <f>3/8</f>
        <v>0.375</v>
      </c>
    </row>
    <row r="30" spans="1:16">
      <c r="A30" t="s">
        <v>112</v>
      </c>
      <c r="B30" s="1">
        <v>-23.34</v>
      </c>
      <c r="C30" s="1">
        <v>43.9</v>
      </c>
      <c r="D30" s="1"/>
      <c r="E30" s="8">
        <v>23.875</v>
      </c>
      <c r="F30" s="8">
        <v>47.625</v>
      </c>
      <c r="K30">
        <f xml:space="preserve"> E30 - ABS(B30)</f>
        <v>0.53500000000000014</v>
      </c>
      <c r="L30">
        <f xml:space="preserve"> F30 - ABS(C30)</f>
        <v>3.7250000000000014</v>
      </c>
      <c r="M30">
        <f t="shared" ref="M30:M33" si="2" xml:space="preserve"> G30 - ABS(D30)</f>
        <v>0</v>
      </c>
    </row>
    <row r="31" spans="1:16">
      <c r="A31" t="s">
        <v>113</v>
      </c>
      <c r="B31" s="1">
        <v>-47.48</v>
      </c>
      <c r="C31" s="1">
        <v>-44.45</v>
      </c>
      <c r="D31" s="1"/>
      <c r="E31" s="8">
        <v>47.625</v>
      </c>
      <c r="F31" s="8">
        <v>47.625</v>
      </c>
      <c r="K31">
        <f xml:space="preserve"> E31 - ABS(B31)</f>
        <v>0.14500000000000313</v>
      </c>
      <c r="L31">
        <f xml:space="preserve"> F31 - ABS(C31)</f>
        <v>3.1749999999999972</v>
      </c>
      <c r="M31">
        <f t="shared" si="2"/>
        <v>0</v>
      </c>
    </row>
    <row r="32" spans="1:16">
      <c r="A32" t="s">
        <v>114</v>
      </c>
      <c r="B32" s="1">
        <v>-24.44</v>
      </c>
      <c r="C32" s="1">
        <v>-18.46</v>
      </c>
      <c r="D32" s="1"/>
      <c r="E32" s="8">
        <v>23.875</v>
      </c>
      <c r="F32" s="8">
        <v>23.375</v>
      </c>
      <c r="K32">
        <f xml:space="preserve"> E32 - ABS(B32)</f>
        <v>-0.56500000000000128</v>
      </c>
      <c r="L32">
        <f xml:space="preserve"> F32 - ABS(C32)</f>
        <v>4.9149999999999991</v>
      </c>
      <c r="M32">
        <f t="shared" si="2"/>
        <v>0</v>
      </c>
    </row>
    <row r="33" spans="1:13">
      <c r="A33" t="s">
        <v>115</v>
      </c>
      <c r="B33" s="1">
        <v>-47.69</v>
      </c>
      <c r="C33" s="1">
        <v>-18.59</v>
      </c>
      <c r="D33" s="1"/>
      <c r="E33" s="8">
        <v>47.625</v>
      </c>
      <c r="F33" s="8">
        <v>23.375</v>
      </c>
      <c r="K33">
        <f xml:space="preserve"> E33 - ABS(B33)</f>
        <v>-6.4999999999997726E-2</v>
      </c>
      <c r="L33">
        <f xml:space="preserve"> F33 - ABS(C33)</f>
        <v>4.7850000000000001</v>
      </c>
      <c r="M33">
        <f t="shared" si="2"/>
        <v>0</v>
      </c>
    </row>
    <row r="34" spans="1:13">
      <c r="A34" s="11"/>
      <c r="B34" s="12"/>
      <c r="C34" s="12"/>
      <c r="D34" s="12"/>
      <c r="E34" s="12"/>
      <c r="F34" s="12"/>
      <c r="G34" s="11"/>
      <c r="H34" s="11"/>
      <c r="I34" s="11"/>
      <c r="J34" s="11"/>
    </row>
    <row r="36" spans="1:13">
      <c r="B36" s="1"/>
      <c r="C36" s="1"/>
      <c r="E36" s="9"/>
      <c r="F36" s="9"/>
    </row>
    <row r="45" spans="1:13">
      <c r="K45" t="s">
        <v>110</v>
      </c>
      <c r="L45" t="s">
        <v>104</v>
      </c>
    </row>
    <row r="46" spans="1:13">
      <c r="K46">
        <f>AVERAGE(K30:K33)</f>
        <v>1.2500000000001066E-2</v>
      </c>
      <c r="L46">
        <f>AVERAGE(L30:L33)</f>
        <v>4.1499999999999995</v>
      </c>
    </row>
    <row r="48" spans="1:13">
      <c r="K48">
        <f>K30-$K$46</f>
        <v>0.52249999999999908</v>
      </c>
      <c r="L48">
        <f>L30-$L$46</f>
        <v>-0.42499999999999805</v>
      </c>
    </row>
    <row r="49" spans="11:12">
      <c r="K49">
        <f>K31-$K$46</f>
        <v>0.13250000000000206</v>
      </c>
      <c r="L49">
        <f>L31-$L$46</f>
        <v>-0.97500000000000231</v>
      </c>
    </row>
    <row r="50" spans="11:12">
      <c r="K50">
        <f>K32-$K$46</f>
        <v>-0.57750000000000234</v>
      </c>
      <c r="L50">
        <f>L32-$L$46</f>
        <v>0.76499999999999968</v>
      </c>
    </row>
    <row r="51" spans="11:12">
      <c r="K51">
        <f>K33-$K$46</f>
        <v>-7.7499999999998792E-2</v>
      </c>
      <c r="L51">
        <f>L33-$L$46</f>
        <v>0.63500000000000068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Sheet5</vt:lpstr>
      <vt:lpstr>Sheet4</vt:lpstr>
      <vt:lpstr>Sheet6</vt:lpstr>
      <vt:lpstr>Sheet7</vt:lpstr>
      <vt:lpstr>Worlds-like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Fergesen</dc:creator>
  <cp:lastModifiedBy>Gabriel Fergesen</cp:lastModifiedBy>
  <dcterms:created xsi:type="dcterms:W3CDTF">2024-03-30T17:23:06Z</dcterms:created>
  <dcterms:modified xsi:type="dcterms:W3CDTF">2024-04-14T20:09:02Z</dcterms:modified>
</cp:coreProperties>
</file>