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icfonline.sharepoint.com/sites/FeedtheFutureZOISurveyToolkitMidline/Shared Documents/General/GitHub/Midline Toolkit/2.01 Sampling Guide and Sample Size Calculator/"/>
    </mc:Choice>
  </mc:AlternateContent>
  <xr:revisionPtr revIDLastSave="1184" documentId="13_ncr:1_{3415E09C-364E-4DB1-A2FE-E8641537A8AF}" xr6:coauthVersionLast="47" xr6:coauthVersionMax="47" xr10:uidLastSave="{0F35E7F5-CF1A-4EA2-A145-7CFA7FE4D60A}"/>
  <bookViews>
    <workbookView xWindow="-120" yWindow="-120" windowWidth="29040" windowHeight="15720" tabRatio="860" firstSheet="5" activeTab="6" xr2:uid="{00000000-000D-0000-FFFF-FFFF00000000}"/>
  </bookViews>
  <sheets>
    <sheet name="Introduction and Instructions" sheetId="8" r:id="rId1"/>
    <sheet name="1. Comparative for Proportions" sheetId="1" r:id="rId2"/>
    <sheet name="2. Comparative for Means" sheetId="3" r:id="rId3"/>
    <sheet name="3. Descriptive for Proportions" sheetId="4" r:id="rId4"/>
    <sheet name="4. Descriptive for Means" sheetId="5" r:id="rId5"/>
    <sheet name="5.Comparative Proportions TopUp" sheetId="6" r:id="rId6"/>
    <sheet name="6. Comparative Means TopUp" sheetId="7" r:id="rId7"/>
  </sheets>
  <definedNames>
    <definedName name="_Toc496022002" localSheetId="1">'1. Comparative for Proportions'!$B$4</definedName>
    <definedName name="_Toc496022009" localSheetId="3">'3. Descriptive for Proportions'!$B$4</definedName>
    <definedName name="_Toc496022010" localSheetId="3">'3. Descriptive for Proportions'!$B$4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4" l="1"/>
  <c r="E51" i="7" l="1"/>
  <c r="E49" i="6"/>
  <c r="E59" i="5" l="1"/>
  <c r="E59" i="3" l="1"/>
  <c r="E45" i="1" l="1"/>
  <c r="E38" i="7"/>
  <c r="E40" i="7" s="1"/>
  <c r="E41" i="7" s="1"/>
  <c r="E36" i="6"/>
  <c r="E38" i="6" s="1"/>
  <c r="E39" i="6" s="1"/>
  <c r="E46" i="5"/>
  <c r="E48" i="5" s="1"/>
  <c r="E49" i="5" s="1"/>
  <c r="E30" i="4"/>
  <c r="E32" i="4" s="1"/>
  <c r="E33" i="4" s="1"/>
  <c r="E46" i="3"/>
  <c r="E48" i="3" s="1"/>
  <c r="E49" i="3" s="1"/>
  <c r="E32" i="1" l="1"/>
  <c r="E34" i="1" s="1"/>
  <c r="E35" i="1" s="1"/>
  <c r="E8" i="6" l="1"/>
  <c r="E21" i="3"/>
  <c r="E52" i="7" l="1"/>
  <c r="E37" i="7"/>
  <c r="E35" i="7"/>
  <c r="E24" i="7"/>
  <c r="E14" i="7"/>
  <c r="E12" i="7"/>
  <c r="E10" i="7"/>
  <c r="E8" i="7"/>
  <c r="E32" i="7"/>
  <c r="E50" i="6"/>
  <c r="E35" i="6"/>
  <c r="E33" i="6"/>
  <c r="E22" i="6"/>
  <c r="E12" i="6"/>
  <c r="E10" i="6"/>
  <c r="E30" i="6"/>
  <c r="E19" i="3"/>
  <c r="E9" i="3"/>
  <c r="E7" i="3"/>
  <c r="E19" i="5"/>
  <c r="E17" i="5"/>
  <c r="E13" i="5"/>
  <c r="E9" i="5"/>
  <c r="E60" i="5"/>
  <c r="E43" i="5"/>
  <c r="E33" i="5"/>
  <c r="E45" i="5"/>
  <c r="E40" i="5"/>
  <c r="E17" i="4" l="1"/>
  <c r="E7" i="4"/>
  <c r="E44" i="4"/>
  <c r="E29" i="4"/>
  <c r="E27" i="4"/>
  <c r="E24" i="4"/>
  <c r="E60" i="3"/>
  <c r="E45" i="3"/>
  <c r="E43" i="3"/>
  <c r="E33" i="3"/>
  <c r="E15" i="3"/>
  <c r="E44" i="1"/>
  <c r="E31" i="1"/>
  <c r="E29" i="1"/>
  <c r="E19" i="1"/>
  <c r="E9" i="1"/>
  <c r="E7" i="1"/>
  <c r="E40" i="3" l="1"/>
  <c r="E26" i="1" l="1"/>
  <c r="N25" i="7" l="1"/>
  <c r="E21" i="7" l="1"/>
  <c r="E17" i="7"/>
  <c r="N24" i="7" l="1"/>
  <c r="N26" i="7" s="1"/>
  <c r="N27" i="7" s="1"/>
  <c r="E25" i="7" s="1"/>
  <c r="E19" i="6"/>
  <c r="E15" i="6"/>
  <c r="N25" i="6"/>
  <c r="N22" i="6"/>
  <c r="N23" i="6"/>
  <c r="E27" i="7" l="1"/>
  <c r="E43" i="7" s="1"/>
  <c r="E26" i="7"/>
  <c r="N24" i="6"/>
  <c r="N26" i="6" s="1"/>
  <c r="N27" i="6" l="1"/>
  <c r="E23" i="6" s="1"/>
  <c r="E24" i="6" s="1"/>
  <c r="E30" i="5"/>
  <c r="E10" i="4"/>
  <c r="E12" i="4" s="1"/>
  <c r="E24" i="5"/>
  <c r="E26" i="5" s="1"/>
  <c r="N9" i="5"/>
  <c r="N8" i="5"/>
  <c r="E20" i="5"/>
  <c r="N20" i="4"/>
  <c r="N7" i="4"/>
  <c r="N6" i="4"/>
  <c r="E16" i="1"/>
  <c r="E30" i="3"/>
  <c r="E26" i="3"/>
  <c r="E12" i="1"/>
  <c r="N34" i="5" l="1"/>
  <c r="N33" i="5"/>
  <c r="E25" i="6"/>
  <c r="E41" i="6" s="1"/>
  <c r="N19" i="4"/>
  <c r="E18" i="4" s="1"/>
  <c r="E22" i="3"/>
  <c r="N35" i="3" s="1"/>
  <c r="E34" i="5" l="1"/>
  <c r="E35" i="4"/>
  <c r="E37" i="4" s="1"/>
  <c r="E45" i="4" s="1"/>
  <c r="E10" i="3"/>
  <c r="N34" i="3"/>
  <c r="E51" i="5" l="1"/>
  <c r="E53" i="5" s="1"/>
  <c r="E61" i="5" s="1"/>
  <c r="E34" i="3"/>
  <c r="N22" i="1"/>
  <c r="N21" i="1"/>
  <c r="N19" i="1"/>
  <c r="N20" i="1" s="1"/>
  <c r="E51" i="3" l="1"/>
  <c r="E53" i="3" s="1"/>
  <c r="E61" i="3" s="1"/>
  <c r="N24" i="1"/>
  <c r="N23" i="1"/>
  <c r="E20" i="1" l="1"/>
  <c r="E37" i="1" s="1"/>
  <c r="E45" i="7"/>
  <c r="E53" i="7" s="1"/>
  <c r="E39" i="1" l="1"/>
  <c r="E47" i="1" s="1"/>
  <c r="E43" i="6"/>
  <c r="E51" i="6" s="1"/>
</calcChain>
</file>

<file path=xl/sharedStrings.xml><?xml version="1.0" encoding="utf-8"?>
<sst xmlns="http://schemas.openxmlformats.org/spreadsheetml/2006/main" count="439" uniqueCount="153">
  <si>
    <t>POPULATION-BASED SURVEY SAMPLE SIZE CALCULATOR:                                                                                                  COMPANION TO THE "FEED THE FUTURE POPULATION-BASED SAMPLING GUIDE"</t>
  </si>
  <si>
    <r>
      <rPr>
        <sz val="11"/>
        <rFont val="Calibri"/>
        <family val="2"/>
        <scheme val="minor"/>
      </rPr>
      <t xml:space="preserve">This Excel sample size calculator is designed to be used as a companion to the publication, "Feed the Future Population-Based Sampling Guide" (see hyperlink below). The calculator was developed by Diana Stukel, PhD, FANTA, and funded by USAID's Bureau for Food Security and Office of Food for Peace. </t>
    </r>
    <r>
      <rPr>
        <sz val="11"/>
        <color theme="1"/>
        <rFont val="Calibri"/>
        <family val="2"/>
        <scheme val="minor"/>
      </rPr>
      <t xml:space="preserve">It permits the calculation of sample sizes for population-based surveys that collect data for indicators that are estimates of proportions or means—such as the Global Food Security Strategy indicators: "Prevalence of Stunted Children Under 5 Years of Age" (a proportion) and "Average Daily Per Capita Expenditure" (a mean).  The calculator requires a number of input parameters, and produces both an initial sample size for a given indicator (for both individual and household level indicators), as well as the final sample size after adjusting for the number of households to sample (for individual level indicators only) and for household level non-response. </t>
    </r>
  </si>
  <si>
    <r>
      <rPr>
        <b/>
        <sz val="11"/>
        <color theme="1"/>
        <rFont val="Calibri"/>
        <family val="2"/>
        <scheme val="minor"/>
      </rPr>
      <t>NB:</t>
    </r>
    <r>
      <rPr>
        <sz val="11"/>
        <color theme="1"/>
        <rFont val="Calibri"/>
        <family val="2"/>
        <scheme val="minor"/>
      </rPr>
      <t xml:space="preserve"> This is a revised version of the previously published calculator (FTF ZOI Survey Methods - Sample Size Calculator 20180425.xlsx), that now incorporates the adj_1 (i.e., the adjustment factor for the number of households to sample for individual level indicators only) and adj_2 (i.e., the adjustment factor for household level non-response) calculations explicitly in the sample size calculator.</t>
    </r>
  </si>
  <si>
    <t>Click on this hyperlink to visit the sampling guide</t>
  </si>
  <si>
    <t>There are six sheets to this Excel-based sample size calculator, allowing for sample size computations under different scenarios. These scenarios are summarized below:</t>
  </si>
  <si>
    <t xml:space="preserve"> Sheet 1. "Comparative for Proportions"</t>
  </si>
  <si>
    <t>Sample Size Calculator to Power Statistical Tests of Differences over Time for Indicators of Proportions</t>
  </si>
  <si>
    <t xml:space="preserve">(Corresponding to Sections 2.2.1 [equation 1], 2.2.4 [equation 4], and 2.2.5 of Guide) </t>
  </si>
  <si>
    <t xml:space="preserve"> Sheet 2. "Comparative for Means"</t>
  </si>
  <si>
    <t>Sample Size Calculator to Power Statistical Tests of Differences over Time for Indicators of Means</t>
  </si>
  <si>
    <t xml:space="preserve">(Corresponding to Sections 2.2.2 [equation 2], 2.2.4 [equation 4], and 2.2.5 of Guide) </t>
  </si>
  <si>
    <t xml:space="preserve"> Sheet 3. "Descriptive for Proportions"</t>
  </si>
  <si>
    <t>Sample Size Calculator to Ensure Adequate Precision for Estimates of Indicators of Proportions</t>
  </si>
  <si>
    <t xml:space="preserve">(Corresponding to Sections 2.3.1 [equation 8], 2.2.4 [equation 4], and 2.2.5 of Guide) </t>
  </si>
  <si>
    <t xml:space="preserve"> Sheet 4. "Descriptive for Means"</t>
  </si>
  <si>
    <t>Sample Size Calculator to Ensure Adequate Precision for Estimates of Indicators of Means</t>
  </si>
  <si>
    <t xml:space="preserve">(Corresponding to Sections 2.3.2 [equation 9], 2.2.4 [equation 4], and 2.2.5 of Guide) </t>
  </si>
  <si>
    <t xml:space="preserve"> Sheet 5. "Comparative Proportions TopUp"</t>
  </si>
  <si>
    <t>Adjusting Sample Size at the Second Time Point for Indicators of Proportions (Comparative Surveys only)</t>
  </si>
  <si>
    <t xml:space="preserve">(Corresponding to Sections 2.2.7 [equation 6], 2.2.4 [equation 4], and 2.2.5 of Guide) </t>
  </si>
  <si>
    <t xml:space="preserve"> Sheet 6. "Comparative Means TopUp"</t>
  </si>
  <si>
    <t>Adjusting Sample Size at the Second Time Point for Indicators of Means (Comparative Surveys only)</t>
  </si>
  <si>
    <t xml:space="preserve">(Corresponding to Sections 2.2.7 [equation 7], 2.2.4 [equation 4], and 2.2.5 of Guide) </t>
  </si>
  <si>
    <t>Instructions</t>
  </si>
  <si>
    <r>
      <t>In each of the sheets, for</t>
    </r>
    <r>
      <rPr>
        <i/>
        <sz val="11"/>
        <rFont val="Calibri"/>
        <family val="2"/>
        <scheme val="minor"/>
      </rPr>
      <t xml:space="preserve"> all cells highlighted in yellow, either fill in with approp</t>
    </r>
    <r>
      <rPr>
        <i/>
        <sz val="11"/>
        <color theme="1"/>
        <rFont val="Calibri"/>
        <family val="2"/>
        <scheme val="minor"/>
      </rPr>
      <t>riate values or select choices from the drop-down boxes provided, as per specific instruction provided next to the yellow highlighted area.</t>
    </r>
  </si>
  <si>
    <t xml:space="preserve">This calculator is made possible by the generous support of the American people through the support of the </t>
  </si>
  <si>
    <t xml:space="preserve">Office of Health, Infectious Diseases, and Nutrition, Bureau for Global Health, U.S. Agency for International </t>
  </si>
  <si>
    <t xml:space="preserve">Development (USAID), USAID Bureau for Food Security, and USAID Office of Food for Peace, under terms of </t>
  </si>
  <si>
    <t xml:space="preserve">Cooperative Agreement No. AID-OAA-A-12-00005, through the Food and Nutrition Technical Assistance III </t>
  </si>
  <si>
    <t xml:space="preserve">Project (FANTA), managed by FHI 360. </t>
  </si>
  <si>
    <t>The contents are the responsibility of FHI 360 and do not necessarily reflect the views of USAID or the</t>
  </si>
  <si>
    <t>United States Government.</t>
  </si>
  <si>
    <t xml:space="preserve">This revised version of the calculator was prepared by Surveys for Monitoring in Resilience and Food Security  </t>
  </si>
  <si>
    <t>for review by the United States Agency for International Development. Task Order Number: 7200AA21M00009.</t>
  </si>
  <si>
    <r>
      <t>1-</t>
    </r>
    <r>
      <rPr>
        <b/>
        <sz val="11"/>
        <color theme="1"/>
        <rFont val="Calibri"/>
        <family val="2"/>
      </rPr>
      <t>α</t>
    </r>
  </si>
  <si>
    <r>
      <t>z</t>
    </r>
    <r>
      <rPr>
        <b/>
        <vertAlign val="subscript"/>
        <sz val="11"/>
        <color theme="1"/>
        <rFont val="Calibri"/>
        <family val="2"/>
        <scheme val="minor"/>
      </rPr>
      <t>1-α</t>
    </r>
  </si>
  <si>
    <t>INITIAL SAMPLE SIZE</t>
  </si>
  <si>
    <r>
      <t>P</t>
    </r>
    <r>
      <rPr>
        <vertAlign val="subscript"/>
        <sz val="11"/>
        <color theme="1"/>
        <rFont val="Calibri"/>
        <family val="2"/>
        <scheme val="minor"/>
      </rPr>
      <t>1,est</t>
    </r>
  </si>
  <si>
    <t>Estimate of proportion at time point 1</t>
  </si>
  <si>
    <t>Enter value greater than 0 and less than or equal to 1</t>
  </si>
  <si>
    <r>
      <t>P</t>
    </r>
    <r>
      <rPr>
        <vertAlign val="subscript"/>
        <sz val="11"/>
        <color theme="1"/>
        <rFont val="Calibri"/>
        <family val="2"/>
        <scheme val="minor"/>
      </rPr>
      <t>2,est</t>
    </r>
  </si>
  <si>
    <t>Estimate of proportion at time point 2</t>
  </si>
  <si>
    <r>
      <t>Enter value greater than 0 and less than or equal to 1; value cannot be the same as P</t>
    </r>
    <r>
      <rPr>
        <vertAlign val="subscript"/>
        <sz val="10"/>
        <color theme="1"/>
        <rFont val="Calibri"/>
        <family val="2"/>
        <scheme val="minor"/>
      </rPr>
      <t>1,est</t>
    </r>
  </si>
  <si>
    <r>
      <t>1-</t>
    </r>
    <r>
      <rPr>
        <i/>
        <sz val="11"/>
        <color theme="1"/>
        <rFont val="Calibri"/>
        <family val="2"/>
      </rPr>
      <t>α</t>
    </r>
  </si>
  <si>
    <r>
      <t>Confidence Level</t>
    </r>
    <r>
      <rPr>
        <sz val="10"/>
        <rFont val="Calibri"/>
        <family val="2"/>
      </rPr>
      <t xml:space="preserve"> (95% recommended)</t>
    </r>
  </si>
  <si>
    <t>Use drop-down box</t>
  </si>
  <si>
    <r>
      <t>1-</t>
    </r>
    <r>
      <rPr>
        <b/>
        <sz val="11"/>
        <color theme="1"/>
        <rFont val="Calibri"/>
        <family val="2"/>
      </rPr>
      <t>β</t>
    </r>
  </si>
  <si>
    <r>
      <t>z</t>
    </r>
    <r>
      <rPr>
        <b/>
        <vertAlign val="subscript"/>
        <sz val="11"/>
        <color theme="1"/>
        <rFont val="Calibri"/>
        <family val="2"/>
        <scheme val="minor"/>
      </rPr>
      <t>1-</t>
    </r>
    <r>
      <rPr>
        <b/>
        <vertAlign val="subscript"/>
        <sz val="11"/>
        <color theme="1"/>
        <rFont val="Calibri"/>
        <family val="2"/>
      </rPr>
      <t>β</t>
    </r>
  </si>
  <si>
    <r>
      <t>z</t>
    </r>
    <r>
      <rPr>
        <vertAlign val="subscript"/>
        <sz val="11"/>
        <color theme="1"/>
        <rFont val="Calibri"/>
        <family val="2"/>
        <scheme val="minor"/>
      </rPr>
      <t>1-α</t>
    </r>
  </si>
  <si>
    <r>
      <t>Normal Probability value corresponding to 1-</t>
    </r>
    <r>
      <rPr>
        <b/>
        <sz val="11"/>
        <color theme="1"/>
        <rFont val="Calibri"/>
        <family val="2"/>
      </rPr>
      <t>α</t>
    </r>
  </si>
  <si>
    <r>
      <t>1-</t>
    </r>
    <r>
      <rPr>
        <i/>
        <sz val="11"/>
        <color theme="1"/>
        <rFont val="Calibri"/>
        <family val="2"/>
      </rPr>
      <t>β</t>
    </r>
  </si>
  <si>
    <r>
      <t xml:space="preserve">Power </t>
    </r>
    <r>
      <rPr>
        <sz val="10"/>
        <rFont val="Calibri"/>
        <family val="2"/>
      </rPr>
      <t>(80% recommended)</t>
    </r>
  </si>
  <si>
    <r>
      <t>z</t>
    </r>
    <r>
      <rPr>
        <vertAlign val="subscript"/>
        <sz val="11"/>
        <color theme="1"/>
        <rFont val="Calibri"/>
        <family val="2"/>
        <scheme val="minor"/>
      </rPr>
      <t>1-</t>
    </r>
    <r>
      <rPr>
        <vertAlign val="subscript"/>
        <sz val="11"/>
        <color theme="1"/>
        <rFont val="Calibri"/>
        <family val="2"/>
      </rPr>
      <t>β</t>
    </r>
  </si>
  <si>
    <r>
      <t>Normal Probability value corresponding to 1-</t>
    </r>
    <r>
      <rPr>
        <b/>
        <sz val="11"/>
        <color theme="1"/>
        <rFont val="Calibri"/>
        <family val="2"/>
      </rPr>
      <t>β</t>
    </r>
  </si>
  <si>
    <r>
      <t>D</t>
    </r>
    <r>
      <rPr>
        <i/>
        <vertAlign val="subscript"/>
        <sz val="11"/>
        <color theme="1"/>
        <rFont val="Calibri"/>
        <family val="2"/>
        <scheme val="minor"/>
      </rPr>
      <t>est</t>
    </r>
  </si>
  <si>
    <t>Design Effect</t>
  </si>
  <si>
    <t>Enter value greater than 0 and less than or equal to 10</t>
  </si>
  <si>
    <t>Pbar</t>
  </si>
  <si>
    <r>
      <t>n</t>
    </r>
    <r>
      <rPr>
        <vertAlign val="subscript"/>
        <sz val="11"/>
        <color theme="1"/>
        <rFont val="Calibri"/>
        <family val="2"/>
        <scheme val="minor"/>
      </rPr>
      <t>initial</t>
    </r>
  </si>
  <si>
    <t>Initial Sample Size</t>
  </si>
  <si>
    <t>Pbar*(1-Pbar)</t>
  </si>
  <si>
    <t>P1est*(1-P1est)</t>
  </si>
  <si>
    <t>P2est*(1-P2est)</t>
  </si>
  <si>
    <t>ADJUSTMENT 1</t>
  </si>
  <si>
    <t>Inflation of initial sample size to account for the number of households to visit</t>
  </si>
  <si>
    <t>Num1</t>
  </si>
  <si>
    <t>Num2</t>
  </si>
  <si>
    <t>Indicator at individual or household level?</t>
  </si>
  <si>
    <t>Individual</t>
  </si>
  <si>
    <t>If individual level indicator, enter:</t>
  </si>
  <si>
    <t>Household</t>
  </si>
  <si>
    <t>(1) Proportion of the population in the age group underlying the indicator</t>
  </si>
  <si>
    <t>(2) Average household size</t>
  </si>
  <si>
    <t>Enter value greater than or equal to 1 and less than or equal to 10</t>
  </si>
  <si>
    <t>λ</t>
  </si>
  <si>
    <t>Lambda</t>
  </si>
  <si>
    <t>Area to Store Sample Size Computation Results for Various Indicators and Input Parameters</t>
  </si>
  <si>
    <t>A</t>
  </si>
  <si>
    <t>adj_1</t>
  </si>
  <si>
    <t>Adjustment factor to inflate the initial sample size to account for the number of households to visit</t>
  </si>
  <si>
    <r>
      <t>n</t>
    </r>
    <r>
      <rPr>
        <vertAlign val="subscript"/>
        <sz val="11"/>
        <rFont val="Calibri"/>
        <family val="2"/>
      </rPr>
      <t>adj_1</t>
    </r>
  </si>
  <si>
    <t>Initial sample size adjusted for number of households to visit</t>
  </si>
  <si>
    <r>
      <t>n</t>
    </r>
    <r>
      <rPr>
        <vertAlign val="subscript"/>
        <sz val="11"/>
        <rFont val="Calibri"/>
        <family val="2"/>
      </rPr>
      <t>initial</t>
    </r>
    <r>
      <rPr>
        <sz val="11"/>
        <rFont val="Calibri"/>
        <family val="2"/>
      </rPr>
      <t xml:space="preserve"> or n</t>
    </r>
    <r>
      <rPr>
        <vertAlign val="subscript"/>
        <sz val="11"/>
        <rFont val="Calibri"/>
        <family val="2"/>
      </rPr>
      <t>adj_1</t>
    </r>
  </si>
  <si>
    <r>
      <t>Initial sample size adjusted for number of households to visit (same as n</t>
    </r>
    <r>
      <rPr>
        <vertAlign val="subscript"/>
        <sz val="10"/>
        <rFont val="Arial"/>
        <family val="2"/>
      </rPr>
      <t>initial</t>
    </r>
    <r>
      <rPr>
        <sz val="10"/>
        <rFont val="Arial"/>
        <family val="2"/>
      </rPr>
      <t xml:space="preserve"> if household level indicator)</t>
    </r>
  </si>
  <si>
    <t>ADJUSTMENT 2</t>
  </si>
  <si>
    <t>Inflation of sample size to account for non-responding households</t>
  </si>
  <si>
    <t>Anticipated household non-response rate (%)</t>
  </si>
  <si>
    <t>Enter value greater than or equal to 0 and less than 100</t>
  </si>
  <si>
    <t>adj_2</t>
  </si>
  <si>
    <t>Adjustment factor to inflate the sample size  to account for non-responding households.</t>
  </si>
  <si>
    <r>
      <t>n</t>
    </r>
    <r>
      <rPr>
        <vertAlign val="subscript"/>
        <sz val="11"/>
        <color theme="1"/>
        <rFont val="Calibri"/>
        <family val="2"/>
        <scheme val="minor"/>
      </rPr>
      <t>final</t>
    </r>
  </si>
  <si>
    <t>Final number of households to sample</t>
  </si>
  <si>
    <t>Estimate of mean at time point 1</t>
  </si>
  <si>
    <t>Enter value greater than 0</t>
  </si>
  <si>
    <t>Estimate of mean at time point 2</t>
  </si>
  <si>
    <r>
      <t>Enter value greater than 0; value cannot be the same as X</t>
    </r>
    <r>
      <rPr>
        <vertAlign val="subscript"/>
        <sz val="10"/>
        <color theme="1"/>
        <rFont val="Calibri"/>
        <family val="2"/>
        <scheme val="minor"/>
      </rPr>
      <t>1,est</t>
    </r>
  </si>
  <si>
    <t>δ</t>
  </si>
  <si>
    <t>Delta</t>
  </si>
  <si>
    <t>Estimate of Standard Deviation Available?</t>
  </si>
  <si>
    <t>YES</t>
  </si>
  <si>
    <t>NO</t>
  </si>
  <si>
    <r>
      <t xml:space="preserve">If YES, write estimate here </t>
    </r>
    <r>
      <rPr>
        <sz val="9"/>
        <rFont val="Calibri"/>
        <family val="2"/>
      </rPr>
      <t>(in units of indicator)</t>
    </r>
    <r>
      <rPr>
        <sz val="11"/>
        <rFont val="Calibri"/>
        <family val="2"/>
      </rPr>
      <t>:</t>
    </r>
  </si>
  <si>
    <t>If NO, provide estimates of minimum and maximum:</t>
  </si>
  <si>
    <t>max</t>
  </si>
  <si>
    <r>
      <t xml:space="preserve">Estimate of maximum </t>
    </r>
    <r>
      <rPr>
        <sz val="9"/>
        <rFont val="Calibri"/>
        <family val="2"/>
      </rPr>
      <t>(per individual or household in units of indicator)</t>
    </r>
  </si>
  <si>
    <t>min</t>
  </si>
  <si>
    <r>
      <t xml:space="preserve">Estimate of minimum </t>
    </r>
    <r>
      <rPr>
        <sz val="9"/>
        <rFont val="Calibri"/>
        <family val="2"/>
      </rPr>
      <t>(per individual or household in units of indicator)</t>
    </r>
  </si>
  <si>
    <r>
      <t xml:space="preserve">Enter value greater than or equal to 0; Value can not be greater than or equal to </t>
    </r>
    <r>
      <rPr>
        <i/>
        <sz val="10"/>
        <color theme="1"/>
        <rFont val="Calibri"/>
        <family val="2"/>
        <scheme val="minor"/>
      </rPr>
      <t>max</t>
    </r>
  </si>
  <si>
    <t>Standard deviation</t>
  </si>
  <si>
    <t>α</t>
  </si>
  <si>
    <r>
      <t>1-(</t>
    </r>
    <r>
      <rPr>
        <b/>
        <sz val="11"/>
        <color theme="1"/>
        <rFont val="Calibri"/>
        <family val="2"/>
      </rPr>
      <t>α/2)</t>
    </r>
  </si>
  <si>
    <r>
      <t>z</t>
    </r>
    <r>
      <rPr>
        <b/>
        <vertAlign val="subscript"/>
        <sz val="11"/>
        <color theme="1"/>
        <rFont val="Calibri"/>
        <family val="2"/>
        <scheme val="minor"/>
      </rPr>
      <t>1-α/2</t>
    </r>
  </si>
  <si>
    <r>
      <t>P</t>
    </r>
    <r>
      <rPr>
        <vertAlign val="subscript"/>
        <sz val="11"/>
        <color theme="1"/>
        <rFont val="Calibri"/>
        <family val="2"/>
        <scheme val="minor"/>
      </rPr>
      <t>est</t>
    </r>
  </si>
  <si>
    <t xml:space="preserve">Estimate of proportion </t>
  </si>
  <si>
    <t>Alpha</t>
  </si>
  <si>
    <r>
      <t>1-(</t>
    </r>
    <r>
      <rPr>
        <i/>
        <sz val="11"/>
        <color theme="1"/>
        <rFont val="Calibri"/>
        <family val="2"/>
      </rPr>
      <t>α/2)</t>
    </r>
  </si>
  <si>
    <t>Confidence Level</t>
  </si>
  <si>
    <t>MOE</t>
  </si>
  <si>
    <r>
      <t>z</t>
    </r>
    <r>
      <rPr>
        <vertAlign val="subscript"/>
        <sz val="11"/>
        <color theme="1"/>
        <rFont val="Calibri"/>
        <family val="2"/>
        <scheme val="minor"/>
      </rPr>
      <t>1-α/2</t>
    </r>
  </si>
  <si>
    <r>
      <t>Normal Probability value corresponding to 1-(</t>
    </r>
    <r>
      <rPr>
        <b/>
        <sz val="11"/>
        <color theme="1"/>
        <rFont val="Calibri"/>
        <family val="2"/>
      </rPr>
      <t>α/2)</t>
    </r>
  </si>
  <si>
    <t>Margin of Error (between 0.05-0.10)</t>
  </si>
  <si>
    <t>Num</t>
  </si>
  <si>
    <t>Den</t>
  </si>
  <si>
    <t>Adjustment factor to inflate the sample size  to account for non-responding households</t>
  </si>
  <si>
    <t>Estimate of mean</t>
  </si>
  <si>
    <r>
      <t xml:space="preserve">Enter value greater than or equal to 0; value cannot be greater than or equal to </t>
    </r>
    <r>
      <rPr>
        <i/>
        <sz val="10"/>
        <color theme="1"/>
        <rFont val="Calibri"/>
        <family val="2"/>
        <scheme val="minor"/>
      </rPr>
      <t>max</t>
    </r>
  </si>
  <si>
    <t>Acceptable Error (between 0.05-0.1)</t>
  </si>
  <si>
    <t>Margin of Error (Acceptable Error*Estimate of Mean)</t>
  </si>
  <si>
    <t>NUM</t>
  </si>
  <si>
    <t>DEN</t>
  </si>
  <si>
    <t>ADJUSTED INITIAL SAMPLE SIZE</t>
  </si>
  <si>
    <r>
      <t>n</t>
    </r>
    <r>
      <rPr>
        <vertAlign val="subscript"/>
        <sz val="11"/>
        <color theme="1"/>
        <rFont val="Calibri"/>
        <family val="2"/>
        <scheme val="minor"/>
      </rPr>
      <t>initial, actual</t>
    </r>
  </si>
  <si>
    <t>Actual initial sample size at time point 1</t>
  </si>
  <si>
    <r>
      <t>P</t>
    </r>
    <r>
      <rPr>
        <vertAlign val="subscript"/>
        <sz val="11"/>
        <color theme="1"/>
        <rFont val="Calibri"/>
        <family val="2"/>
        <scheme val="minor"/>
      </rPr>
      <t>1,actual</t>
    </r>
  </si>
  <si>
    <t>Actual proportion at time point 1</t>
  </si>
  <si>
    <r>
      <t>P</t>
    </r>
    <r>
      <rPr>
        <vertAlign val="subscript"/>
        <sz val="11"/>
        <color theme="1"/>
        <rFont val="Calibri"/>
        <family val="2"/>
        <scheme val="minor"/>
      </rPr>
      <t>2,target</t>
    </r>
  </si>
  <si>
    <t>Target proportion at time point 2</t>
  </si>
  <si>
    <r>
      <t>Enter value greater than 0 and less than or equal to 1; value cannot be the same as P</t>
    </r>
    <r>
      <rPr>
        <vertAlign val="subscript"/>
        <sz val="10"/>
        <color theme="1"/>
        <rFont val="Calibri"/>
        <family val="2"/>
        <scheme val="minor"/>
      </rPr>
      <t>1,actual</t>
    </r>
  </si>
  <si>
    <r>
      <t>D</t>
    </r>
    <r>
      <rPr>
        <i/>
        <vertAlign val="subscript"/>
        <sz val="11"/>
        <color theme="1"/>
        <rFont val="Calibri"/>
        <family val="2"/>
        <scheme val="minor"/>
      </rPr>
      <t>actual</t>
    </r>
  </si>
  <si>
    <t>Actual design effect at time point 1</t>
  </si>
  <si>
    <t>TERM1</t>
  </si>
  <si>
    <t>K</t>
  </si>
  <si>
    <r>
      <t>Inflation Factor to apply to n</t>
    </r>
    <r>
      <rPr>
        <vertAlign val="subscript"/>
        <sz val="11"/>
        <color theme="1"/>
        <rFont val="Calibri"/>
        <family val="2"/>
        <scheme val="minor"/>
      </rPr>
      <t xml:space="preserve">initial,actual </t>
    </r>
    <r>
      <rPr>
        <sz val="11"/>
        <color theme="1"/>
        <rFont val="Calibri"/>
        <family val="2"/>
        <scheme val="minor"/>
      </rPr>
      <t>at time point 2</t>
    </r>
  </si>
  <si>
    <t>TERM2</t>
  </si>
  <si>
    <t>TERM3</t>
  </si>
  <si>
    <r>
      <t>n</t>
    </r>
    <r>
      <rPr>
        <vertAlign val="subscript"/>
        <sz val="11"/>
        <color theme="1"/>
        <rFont val="Calibri"/>
        <family val="2"/>
        <scheme val="minor"/>
      </rPr>
      <t>initial, adjusted</t>
    </r>
  </si>
  <si>
    <r>
      <t>Adjusted initial sample size at time point 2 (</t>
    </r>
    <r>
      <rPr>
        <i/>
        <sz val="11"/>
        <color theme="1"/>
        <rFont val="Calibri"/>
        <family val="2"/>
        <scheme val="minor"/>
      </rPr>
      <t>K*n</t>
    </r>
    <r>
      <rPr>
        <i/>
        <vertAlign val="subscript"/>
        <sz val="11"/>
        <color theme="1"/>
        <rFont val="Calibri"/>
        <family val="2"/>
        <scheme val="minor"/>
      </rPr>
      <t>initial,actual</t>
    </r>
    <r>
      <rPr>
        <sz val="11"/>
        <color theme="1"/>
        <rFont val="Calibri"/>
        <family val="2"/>
        <scheme val="minor"/>
      </rPr>
      <t>)</t>
    </r>
  </si>
  <si>
    <t>TERM4</t>
  </si>
  <si>
    <t>Actual mean at time point 1</t>
  </si>
  <si>
    <t>Target mean at time point 2</t>
  </si>
  <si>
    <r>
      <t>Enter value greater than 0; value cannot be the same as X</t>
    </r>
    <r>
      <rPr>
        <vertAlign val="subscript"/>
        <sz val="10"/>
        <color theme="1"/>
        <rFont val="Calibri"/>
        <family val="2"/>
        <scheme val="minor"/>
      </rPr>
      <t>1,actual</t>
    </r>
  </si>
  <si>
    <r>
      <t>σ</t>
    </r>
    <r>
      <rPr>
        <vertAlign val="subscript"/>
        <sz val="11"/>
        <color theme="1"/>
        <rFont val="Calibri"/>
        <family val="2"/>
      </rPr>
      <t>X1,actual</t>
    </r>
  </si>
  <si>
    <t>Actual standard deviation at time point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</si>
</sst>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
    <numFmt numFmtId="166" formatCode="#,##0.0000"/>
    <numFmt numFmtId="167" formatCode="0.00000"/>
  </numFmts>
  <fonts count="36" x14ac:knownFonts="1">
    <font>
      <sz val="11"/>
      <color theme="1"/>
      <name val="Calibri"/>
      <family val="2"/>
      <scheme val="minor"/>
    </font>
    <font>
      <b/>
      <sz val="11"/>
      <color theme="1"/>
      <name val="Calibri"/>
      <family val="2"/>
      <scheme val="minor"/>
    </font>
    <font>
      <vertAlign val="subscript"/>
      <sz val="11"/>
      <color theme="1"/>
      <name val="Calibri"/>
      <family val="2"/>
      <scheme val="minor"/>
    </font>
    <font>
      <sz val="10"/>
      <color theme="1"/>
      <name val="Calibri"/>
      <family val="2"/>
      <scheme val="minor"/>
    </font>
    <font>
      <sz val="11"/>
      <color theme="1"/>
      <name val="Calibri"/>
      <family val="2"/>
    </font>
    <font>
      <sz val="10"/>
      <color theme="1"/>
      <name val="Calibri"/>
      <family val="2"/>
    </font>
    <font>
      <vertAlign val="subscript"/>
      <sz val="11"/>
      <color theme="1"/>
      <name val="Calibri"/>
      <family val="2"/>
    </font>
    <font>
      <b/>
      <sz val="11"/>
      <color theme="1"/>
      <name val="Calibri"/>
      <family val="2"/>
    </font>
    <font>
      <b/>
      <vertAlign val="subscript"/>
      <sz val="11"/>
      <color theme="1"/>
      <name val="Calibri"/>
      <family val="2"/>
      <scheme val="minor"/>
    </font>
    <font>
      <b/>
      <vertAlign val="subscript"/>
      <sz val="11"/>
      <color theme="1"/>
      <name val="Calibri"/>
      <family val="2"/>
    </font>
    <font>
      <sz val="11"/>
      <color indexed="8"/>
      <name val="Calibri"/>
      <family val="2"/>
    </font>
    <font>
      <sz val="11"/>
      <name val="Calibri"/>
      <family val="2"/>
    </font>
    <font>
      <sz val="9"/>
      <name val="Calibri"/>
      <family val="2"/>
    </font>
    <font>
      <sz val="10"/>
      <name val="Calibri"/>
      <family val="2"/>
    </font>
    <font>
      <b/>
      <sz val="11"/>
      <name val="Calibri"/>
      <family val="2"/>
    </font>
    <font>
      <sz val="10"/>
      <name val="Arial"/>
      <family val="2"/>
    </font>
    <font>
      <b/>
      <sz val="11"/>
      <name val="Calibri"/>
      <family val="2"/>
      <scheme val="minor"/>
    </font>
    <font>
      <sz val="11"/>
      <name val="Calibri"/>
      <family val="2"/>
      <scheme val="minor"/>
    </font>
    <font>
      <vertAlign val="subscript"/>
      <sz val="11"/>
      <name val="Calibri"/>
      <family val="2"/>
    </font>
    <font>
      <sz val="18"/>
      <name val="Arial"/>
      <family val="2"/>
    </font>
    <font>
      <vertAlign val="subscript"/>
      <sz val="10"/>
      <name val="Arial"/>
      <family val="2"/>
    </font>
    <font>
      <b/>
      <sz val="16"/>
      <color theme="1"/>
      <name val="Calibri"/>
      <family val="2"/>
      <scheme val="minor"/>
    </font>
    <font>
      <u/>
      <sz val="11"/>
      <color theme="10"/>
      <name val="Calibri"/>
      <family val="2"/>
      <scheme val="minor"/>
    </font>
    <font>
      <i/>
      <sz val="11"/>
      <color theme="1"/>
      <name val="Calibri"/>
      <family val="2"/>
      <scheme val="minor"/>
    </font>
    <font>
      <i/>
      <sz val="11"/>
      <name val="Calibri"/>
      <family val="2"/>
      <scheme val="minor"/>
    </font>
    <font>
      <sz val="9"/>
      <color theme="1"/>
      <name val="Calibri"/>
      <family val="2"/>
      <scheme val="minor"/>
    </font>
    <font>
      <sz val="23"/>
      <color rgb="FF212121"/>
      <name val="Calibri Light"/>
      <family val="2"/>
    </font>
    <font>
      <sz val="11"/>
      <color rgb="FFFF0000"/>
      <name val="Calibri"/>
      <family val="2"/>
      <scheme val="minor"/>
    </font>
    <font>
      <vertAlign val="subscript"/>
      <sz val="10"/>
      <color theme="1"/>
      <name val="Calibri"/>
      <family val="2"/>
      <scheme val="minor"/>
    </font>
    <font>
      <i/>
      <sz val="10"/>
      <color theme="1"/>
      <name val="Calibri"/>
      <family val="2"/>
      <scheme val="minor"/>
    </font>
    <font>
      <b/>
      <sz val="13"/>
      <color theme="9" tint="-0.249977111117893"/>
      <name val="Calibri"/>
      <family val="2"/>
      <scheme val="minor"/>
    </font>
    <font>
      <i/>
      <sz val="10"/>
      <name val="Calibri"/>
      <family val="2"/>
    </font>
    <font>
      <i/>
      <vertAlign val="subscript"/>
      <sz val="11"/>
      <color theme="1"/>
      <name val="Calibri"/>
      <family val="2"/>
      <scheme val="minor"/>
    </font>
    <font>
      <i/>
      <sz val="11"/>
      <color theme="1"/>
      <name val="Calibri"/>
      <family val="2"/>
    </font>
    <font>
      <b/>
      <sz val="13"/>
      <color rgb="FF4799B5"/>
      <name val="Calibri"/>
      <family val="2"/>
      <scheme val="minor"/>
    </font>
    <font>
      <sz val="11"/>
      <color rgb="FF4799B5"/>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bgColor indexed="64"/>
      </patternFill>
    </fill>
  </fills>
  <borders count="3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9" tint="-0.24994659260841701"/>
      </left>
      <right style="medium">
        <color theme="9" tint="-0.24994659260841701"/>
      </right>
      <top style="medium">
        <color theme="9" tint="-0.24994659260841701"/>
      </top>
      <bottom style="medium">
        <color theme="9" tint="-0.24994659260841701"/>
      </bottom>
      <diagonal/>
    </border>
  </borders>
  <cellStyleXfs count="3">
    <xf numFmtId="0" fontId="0" fillId="0" borderId="0"/>
    <xf numFmtId="0" fontId="10" fillId="0" borderId="0"/>
    <xf numFmtId="0" fontId="22" fillId="0" borderId="0" applyNumberFormat="0" applyFill="0" applyBorder="0" applyAlignment="0" applyProtection="0"/>
  </cellStyleXfs>
  <cellXfs count="132">
    <xf numFmtId="0" fontId="0" fillId="0" borderId="0" xfId="0"/>
    <xf numFmtId="0" fontId="1" fillId="0" borderId="0" xfId="0" applyFont="1"/>
    <xf numFmtId="0" fontId="0" fillId="0" borderId="0" xfId="0" applyAlignment="1">
      <alignment horizontal="center"/>
    </xf>
    <xf numFmtId="0" fontId="5" fillId="0" borderId="0" xfId="0" applyFont="1" applyAlignment="1">
      <alignment horizontal="center" vertical="center" wrapText="1"/>
    </xf>
    <xf numFmtId="0" fontId="1" fillId="0" borderId="0" xfId="0" applyFont="1" applyAlignment="1">
      <alignment horizontal="center"/>
    </xf>
    <xf numFmtId="0" fontId="11" fillId="4" borderId="0" xfId="1" applyFont="1" applyFill="1" applyAlignment="1">
      <alignment horizontal="left" vertical="center" indent="2"/>
    </xf>
    <xf numFmtId="0" fontId="11" fillId="4" borderId="0" xfId="1" applyFont="1" applyFill="1" applyAlignment="1">
      <alignment horizontal="left" vertical="center" wrapText="1" indent="4"/>
    </xf>
    <xf numFmtId="0" fontId="7" fillId="0" borderId="0" xfId="0" applyFont="1" applyAlignment="1">
      <alignment horizontal="center"/>
    </xf>
    <xf numFmtId="0" fontId="14" fillId="4" borderId="0" xfId="1" applyFont="1" applyFill="1" applyAlignment="1">
      <alignment horizontal="left" vertical="center"/>
    </xf>
    <xf numFmtId="164" fontId="0" fillId="0" borderId="0" xfId="0" applyNumberFormat="1"/>
    <xf numFmtId="165" fontId="0" fillId="0" borderId="0" xfId="0" applyNumberFormat="1"/>
    <xf numFmtId="3" fontId="0" fillId="0" borderId="0" xfId="0" applyNumberFormat="1"/>
    <xf numFmtId="0" fontId="15" fillId="0" borderId="0" xfId="0" applyFont="1"/>
    <xf numFmtId="0" fontId="16" fillId="0" borderId="0" xfId="0" applyFont="1" applyAlignment="1">
      <alignment wrapText="1"/>
    </xf>
    <xf numFmtId="0" fontId="17" fillId="0" borderId="0" xfId="0" applyFont="1" applyAlignment="1">
      <alignment wrapText="1"/>
    </xf>
    <xf numFmtId="0" fontId="11" fillId="4" borderId="0" xfId="1" applyFont="1" applyFill="1" applyAlignment="1">
      <alignment horizontal="left" vertical="center" wrapText="1" indent="2"/>
    </xf>
    <xf numFmtId="0" fontId="0" fillId="0" borderId="0" xfId="0" applyAlignment="1">
      <alignment horizontal="right"/>
    </xf>
    <xf numFmtId="2" fontId="0" fillId="0" borderId="0" xfId="0" applyNumberFormat="1" applyAlignment="1">
      <alignment horizontal="center"/>
    </xf>
    <xf numFmtId="3" fontId="0" fillId="0" borderId="0" xfId="0" applyNumberFormat="1" applyAlignment="1">
      <alignment horizontal="center"/>
    </xf>
    <xf numFmtId="0" fontId="15" fillId="3" borderId="0" xfId="0" applyFont="1" applyFill="1"/>
    <xf numFmtId="3" fontId="0" fillId="3" borderId="0" xfId="0" applyNumberFormat="1" applyFill="1" applyAlignment="1">
      <alignment horizontal="center"/>
    </xf>
    <xf numFmtId="0" fontId="15" fillId="3" borderId="0" xfId="0" applyFont="1" applyFill="1" applyAlignment="1">
      <alignment wrapText="1"/>
    </xf>
    <xf numFmtId="0" fontId="19" fillId="0" borderId="0" xfId="0" applyFont="1"/>
    <xf numFmtId="1" fontId="15" fillId="4" borderId="0" xfId="0" applyNumberFormat="1" applyFont="1" applyFill="1"/>
    <xf numFmtId="3" fontId="15" fillId="3" borderId="0" xfId="0" applyNumberFormat="1" applyFont="1" applyFill="1" applyAlignment="1">
      <alignment horizontal="center"/>
    </xf>
    <xf numFmtId="0" fontId="11" fillId="3" borderId="0" xfId="1" applyFont="1" applyFill="1" applyAlignment="1">
      <alignment horizontal="left" vertical="center" wrapText="1" indent="2"/>
    </xf>
    <xf numFmtId="0" fontId="0" fillId="3" borderId="0" xfId="0" applyFill="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4" xfId="0" applyFont="1" applyBorder="1"/>
    <xf numFmtId="0" fontId="3" fillId="0" borderId="5" xfId="0" applyFont="1" applyBorder="1" applyAlignment="1">
      <alignment wrapText="1"/>
    </xf>
    <xf numFmtId="0" fontId="27" fillId="0" borderId="0" xfId="0" applyFont="1" applyAlignment="1">
      <alignment horizontal="center" wrapText="1"/>
    </xf>
    <xf numFmtId="0" fontId="3" fillId="0" borderId="5" xfId="0" applyFont="1" applyBorder="1"/>
    <xf numFmtId="0" fontId="0" fillId="3" borderId="0" xfId="0" applyFill="1"/>
    <xf numFmtId="0" fontId="17" fillId="0" borderId="5" xfId="0" applyFont="1" applyBorder="1" applyAlignment="1">
      <alignment wrapText="1"/>
    </xf>
    <xf numFmtId="0" fontId="0" fillId="0" borderId="0" xfId="0" applyAlignment="1">
      <alignment wrapText="1"/>
    </xf>
    <xf numFmtId="0" fontId="4" fillId="0" borderId="0" xfId="0" applyFont="1" applyAlignment="1">
      <alignment horizontal="center"/>
    </xf>
    <xf numFmtId="0" fontId="19" fillId="0" borderId="5" xfId="0" applyFont="1" applyBorder="1"/>
    <xf numFmtId="3" fontId="0" fillId="4" borderId="5" xfId="0" applyNumberFormat="1" applyFill="1" applyBorder="1"/>
    <xf numFmtId="0" fontId="0" fillId="0" borderId="6" xfId="0" applyBorder="1"/>
    <xf numFmtId="0" fontId="0" fillId="0" borderId="7" xfId="0" applyBorder="1"/>
    <xf numFmtId="0" fontId="0" fillId="0" borderId="8" xfId="0" applyBorder="1"/>
    <xf numFmtId="0" fontId="1" fillId="0" borderId="1" xfId="0" applyFont="1" applyBorder="1"/>
    <xf numFmtId="0" fontId="0" fillId="0" borderId="2" xfId="0" applyBorder="1" applyAlignment="1">
      <alignment horizontal="center"/>
    </xf>
    <xf numFmtId="0" fontId="1" fillId="0" borderId="2" xfId="0" applyFont="1" applyBorder="1"/>
    <xf numFmtId="0" fontId="3" fillId="0" borderId="3" xfId="0" applyFont="1" applyBorder="1" applyAlignment="1">
      <alignment wrapText="1"/>
    </xf>
    <xf numFmtId="0" fontId="0" fillId="0" borderId="7" xfId="0" applyBorder="1" applyAlignment="1">
      <alignment horizontal="center"/>
    </xf>
    <xf numFmtId="0" fontId="16" fillId="0" borderId="2" xfId="0" applyFont="1" applyBorder="1" applyAlignment="1">
      <alignment wrapText="1"/>
    </xf>
    <xf numFmtId="0" fontId="17" fillId="0" borderId="2" xfId="0" applyFont="1" applyBorder="1" applyAlignment="1">
      <alignment wrapText="1"/>
    </xf>
    <xf numFmtId="0" fontId="17" fillId="0" borderId="3" xfId="0" applyFont="1" applyBorder="1" applyAlignment="1">
      <alignment wrapText="1"/>
    </xf>
    <xf numFmtId="0" fontId="27" fillId="0" borderId="0" xfId="0" applyFont="1" applyAlignment="1">
      <alignment wrapText="1"/>
    </xf>
    <xf numFmtId="0" fontId="0" fillId="0" borderId="10" xfId="0" applyBorder="1"/>
    <xf numFmtId="0" fontId="0" fillId="0" borderId="11" xfId="0" applyBorder="1"/>
    <xf numFmtId="0" fontId="0" fillId="0" borderId="12" xfId="0" applyBorder="1"/>
    <xf numFmtId="0" fontId="3" fillId="0" borderId="5" xfId="0" applyFont="1" applyBorder="1" applyAlignment="1">
      <alignment horizontal="left" wrapText="1"/>
    </xf>
    <xf numFmtId="0" fontId="4" fillId="0" borderId="4" xfId="0" applyFont="1" applyBorder="1"/>
    <xf numFmtId="0" fontId="19" fillId="0" borderId="2" xfId="0" applyFont="1" applyBorder="1"/>
    <xf numFmtId="0" fontId="19" fillId="0" borderId="3" xfId="0" applyFont="1" applyBorder="1"/>
    <xf numFmtId="0" fontId="1" fillId="0" borderId="1" xfId="0" applyFont="1" applyBorder="1" applyAlignment="1">
      <alignment wrapText="1"/>
    </xf>
    <xf numFmtId="0" fontId="3" fillId="0" borderId="3" xfId="0" applyFont="1" applyBorder="1" applyAlignment="1">
      <alignment horizontal="left" wrapText="1"/>
    </xf>
    <xf numFmtId="0" fontId="31" fillId="4" borderId="0" xfId="1" applyFont="1" applyFill="1" applyAlignment="1">
      <alignment horizontal="center" vertical="center"/>
    </xf>
    <xf numFmtId="0" fontId="23" fillId="0" borderId="0" xfId="0" applyFont="1" applyAlignment="1">
      <alignment horizontal="center"/>
    </xf>
    <xf numFmtId="0" fontId="33" fillId="0" borderId="0" xfId="0" applyFont="1" applyAlignment="1">
      <alignment horizontal="center"/>
    </xf>
    <xf numFmtId="0" fontId="34" fillId="0" borderId="4" xfId="0" applyFont="1" applyBorder="1" applyAlignment="1">
      <alignment horizontal="left" vertical="center" indent="5"/>
    </xf>
    <xf numFmtId="0" fontId="35" fillId="0" borderId="0" xfId="0" applyFont="1"/>
    <xf numFmtId="0" fontId="0" fillId="4" borderId="0" xfId="0" applyFill="1"/>
    <xf numFmtId="0" fontId="21" fillId="4" borderId="18" xfId="0" applyFont="1" applyFill="1" applyBorder="1" applyAlignment="1">
      <alignment horizontal="center" wrapText="1"/>
    </xf>
    <xf numFmtId="0" fontId="0" fillId="4" borderId="19" xfId="0" applyFill="1" applyBorder="1" applyAlignment="1">
      <alignment horizontal="left" wrapText="1"/>
    </xf>
    <xf numFmtId="0" fontId="0" fillId="4" borderId="19" xfId="0" applyFill="1" applyBorder="1"/>
    <xf numFmtId="0" fontId="34" fillId="4" borderId="19" xfId="0" applyFont="1" applyFill="1" applyBorder="1" applyAlignment="1">
      <alignment horizontal="left" vertical="center" indent="5"/>
    </xf>
    <xf numFmtId="0" fontId="0" fillId="4" borderId="19" xfId="0" applyFill="1" applyBorder="1" applyAlignment="1">
      <alignment horizontal="left" indent="10"/>
    </xf>
    <xf numFmtId="0" fontId="0" fillId="4" borderId="0" xfId="0" applyFill="1" applyAlignment="1">
      <alignment horizontal="left" indent="10"/>
    </xf>
    <xf numFmtId="0" fontId="0" fillId="4" borderId="19" xfId="0" applyFill="1" applyBorder="1" applyAlignment="1">
      <alignment horizontal="left"/>
    </xf>
    <xf numFmtId="0" fontId="0" fillId="4" borderId="0" xfId="0" applyFill="1" applyAlignment="1">
      <alignment horizontal="left"/>
    </xf>
    <xf numFmtId="0" fontId="30" fillId="4" borderId="0" xfId="0" applyFont="1" applyFill="1" applyAlignment="1">
      <alignment horizontal="left" vertical="center" indent="5"/>
    </xf>
    <xf numFmtId="0" fontId="34" fillId="4" borderId="19" xfId="0" applyFont="1" applyFill="1" applyBorder="1" applyAlignment="1">
      <alignment horizontal="left" indent="5"/>
    </xf>
    <xf numFmtId="0" fontId="30" fillId="4" borderId="0" xfId="0" applyFont="1" applyFill="1" applyAlignment="1">
      <alignment horizontal="left" indent="5"/>
    </xf>
    <xf numFmtId="0" fontId="21" fillId="4" borderId="19" xfId="0" applyFont="1" applyFill="1" applyBorder="1"/>
    <xf numFmtId="0" fontId="23" fillId="4" borderId="20" xfId="0" applyFont="1" applyFill="1" applyBorder="1" applyAlignment="1">
      <alignment vertical="center" wrapText="1"/>
    </xf>
    <xf numFmtId="0" fontId="0" fillId="4" borderId="0" xfId="0" applyFill="1" applyAlignment="1">
      <alignment wrapText="1"/>
    </xf>
    <xf numFmtId="0" fontId="26" fillId="4" borderId="21" xfId="0" applyFont="1" applyFill="1" applyBorder="1" applyAlignment="1">
      <alignment vertical="center"/>
    </xf>
    <xf numFmtId="0" fontId="22" fillId="0" borderId="19" xfId="2" applyBorder="1"/>
    <xf numFmtId="0" fontId="0" fillId="2" borderId="2" xfId="0" applyFill="1" applyBorder="1" applyAlignment="1" applyProtection="1">
      <alignment horizontal="center"/>
      <protection locked="0"/>
    </xf>
    <xf numFmtId="0" fontId="0" fillId="2" borderId="0" xfId="0" applyFill="1" applyAlignment="1" applyProtection="1">
      <alignment horizontal="center"/>
      <protection locked="0"/>
    </xf>
    <xf numFmtId="0" fontId="15" fillId="2" borderId="0" xfId="0" applyFont="1" applyFill="1" applyAlignment="1" applyProtection="1">
      <alignment horizontal="center"/>
      <protection locked="0"/>
    </xf>
    <xf numFmtId="2" fontId="0" fillId="2" borderId="0" xfId="0" applyNumberFormat="1" applyFill="1" applyAlignment="1" applyProtection="1">
      <alignment horizontal="center"/>
      <protection locked="0"/>
    </xf>
    <xf numFmtId="3" fontId="0" fillId="2" borderId="2" xfId="0" applyNumberFormat="1" applyFill="1" applyBorder="1" applyAlignment="1" applyProtection="1">
      <alignment horizontal="center"/>
      <protection locked="0"/>
    </xf>
    <xf numFmtId="0" fontId="0" fillId="0" borderId="13" xfId="0" applyBorder="1" applyProtection="1">
      <protection locked="0"/>
    </xf>
    <xf numFmtId="0" fontId="0" fillId="0" borderId="9" xfId="0" applyBorder="1" applyProtection="1">
      <protection locked="0"/>
    </xf>
    <xf numFmtId="0" fontId="0" fillId="0" borderId="14" xfId="0" applyBorder="1" applyProtection="1">
      <protection locked="0"/>
    </xf>
    <xf numFmtId="0" fontId="0" fillId="0" borderId="15" xfId="0" applyBorder="1" applyProtection="1">
      <protection locked="0"/>
    </xf>
    <xf numFmtId="0" fontId="0" fillId="0" borderId="16" xfId="0" applyBorder="1" applyProtection="1">
      <protection locked="0"/>
    </xf>
    <xf numFmtId="0" fontId="0" fillId="0" borderId="17" xfId="0" applyBorder="1" applyProtection="1">
      <protection locked="0"/>
    </xf>
    <xf numFmtId="0" fontId="0" fillId="0" borderId="22" xfId="0" applyBorder="1"/>
    <xf numFmtId="0" fontId="0" fillId="0" borderId="23" xfId="0" applyBorder="1"/>
    <xf numFmtId="0" fontId="0" fillId="0" borderId="24" xfId="0" applyBorder="1"/>
    <xf numFmtId="0" fontId="0" fillId="0" borderId="0" xfId="0" applyAlignment="1">
      <alignment horizontal="left" vertical="center" indent="2"/>
    </xf>
    <xf numFmtId="4" fontId="0" fillId="0" borderId="0" xfId="0" applyNumberFormat="1" applyAlignment="1">
      <alignment horizontal="center"/>
    </xf>
    <xf numFmtId="0" fontId="0" fillId="0" borderId="25" xfId="0" applyBorder="1"/>
    <xf numFmtId="0" fontId="0" fillId="0" borderId="26" xfId="0" applyBorder="1"/>
    <xf numFmtId="0" fontId="0" fillId="0" borderId="27" xfId="0" applyBorder="1"/>
    <xf numFmtId="2" fontId="17" fillId="0" borderId="0" xfId="0" applyNumberFormat="1" applyFont="1" applyAlignment="1">
      <alignment horizontal="center" wrapText="1"/>
    </xf>
    <xf numFmtId="1" fontId="17" fillId="4" borderId="0" xfId="0" applyNumberFormat="1" applyFont="1" applyFill="1"/>
    <xf numFmtId="0" fontId="0" fillId="3" borderId="0" xfId="0" applyFill="1" applyAlignment="1">
      <alignment horizontal="left" indent="2"/>
    </xf>
    <xf numFmtId="0" fontId="4" fillId="0" borderId="0" xfId="0" applyFont="1" applyAlignment="1">
      <alignment horizontal="center" vertical="center"/>
    </xf>
    <xf numFmtId="0" fontId="15" fillId="0" borderId="0" xfId="0" applyFont="1" applyAlignment="1" applyProtection="1">
      <alignment horizontal="center"/>
      <protection locked="0"/>
    </xf>
    <xf numFmtId="0" fontId="0" fillId="0" borderId="22" xfId="0" applyBorder="1" applyProtection="1">
      <protection locked="0"/>
    </xf>
    <xf numFmtId="0" fontId="0" fillId="0" borderId="23" xfId="0" applyBorder="1" applyProtection="1">
      <protection locked="0"/>
    </xf>
    <xf numFmtId="0" fontId="0" fillId="0" borderId="24" xfId="0" applyBorder="1" applyProtection="1">
      <protection locked="0"/>
    </xf>
    <xf numFmtId="0" fontId="1" fillId="0" borderId="10" xfId="0" applyFont="1" applyBorder="1" applyAlignment="1">
      <alignment horizontal="center" wrapText="1"/>
    </xf>
    <xf numFmtId="0" fontId="1" fillId="0" borderId="11" xfId="0" applyFont="1" applyBorder="1" applyAlignment="1">
      <alignment horizontal="center" wrapText="1"/>
    </xf>
    <xf numFmtId="0" fontId="1" fillId="0" borderId="12" xfId="0" applyFont="1" applyBorder="1" applyAlignment="1">
      <alignment horizontal="center" wrapText="1"/>
    </xf>
    <xf numFmtId="0" fontId="22" fillId="0" borderId="31" xfId="2" applyBorder="1" applyAlignment="1">
      <alignment horizontal="center" vertical="center"/>
    </xf>
    <xf numFmtId="166" fontId="0" fillId="3" borderId="0" xfId="0" applyNumberFormat="1" applyFill="1" applyAlignment="1">
      <alignment horizontal="center"/>
    </xf>
    <xf numFmtId="167" fontId="17" fillId="0" borderId="0" xfId="0" applyNumberFormat="1" applyFont="1" applyAlignment="1">
      <alignment horizont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1" fillId="0" borderId="3" xfId="0" applyFont="1" applyBorder="1" applyAlignment="1">
      <alignment horizont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25" fillId="0" borderId="0" xfId="0" applyFont="1" applyAlignment="1">
      <alignment wrapText="1"/>
    </xf>
    <xf numFmtId="0" fontId="0" fillId="0" borderId="0" xfId="0"/>
    <xf numFmtId="0" fontId="1" fillId="0" borderId="28" xfId="0" applyFont="1" applyBorder="1" applyAlignment="1">
      <alignment horizontal="center" wrapText="1"/>
    </xf>
    <xf numFmtId="0" fontId="1" fillId="0" borderId="29" xfId="0" applyFont="1" applyBorder="1" applyAlignment="1">
      <alignment horizontal="center" wrapText="1"/>
    </xf>
    <xf numFmtId="0" fontId="1" fillId="0" borderId="30" xfId="0" applyFont="1" applyBorder="1" applyAlignment="1">
      <alignment horizontal="center" wrapText="1"/>
    </xf>
    <xf numFmtId="0" fontId="34" fillId="0" borderId="4" xfId="0" applyFont="1" applyBorder="1" applyAlignment="1">
      <alignment horizontal="center"/>
    </xf>
    <xf numFmtId="0" fontId="34" fillId="0" borderId="0" xfId="0" applyFont="1" applyAlignment="1">
      <alignment horizontal="center"/>
    </xf>
    <xf numFmtId="0" fontId="34" fillId="0" borderId="5" xfId="0" applyFont="1" applyBorder="1" applyAlignment="1">
      <alignment horizontal="center"/>
    </xf>
  </cellXfs>
  <cellStyles count="3">
    <cellStyle name="Hyperlink" xfId="2" builtinId="8"/>
    <cellStyle name="Normal" xfId="0" builtinId="0"/>
    <cellStyle name="Normal_School Vouchers sampling options + resource tool v1" xfId="1" xr:uid="{00000000-0005-0000-0000-000002000000}"/>
  </cellStyles>
  <dxfs count="53">
    <dxf>
      <numFmt numFmtId="168" formatCode=";;;"/>
    </dxf>
    <dxf>
      <numFmt numFmtId="168" formatCode=";;;"/>
    </dxf>
    <dxf>
      <numFmt numFmtId="168" formatCode=";;;"/>
    </dxf>
    <dxf>
      <numFmt numFmtId="168" formatCode=";;;"/>
    </dxf>
    <dxf>
      <numFmt numFmtId="168" formatCode=";;;"/>
    </dxf>
    <dxf>
      <numFmt numFmtId="168" formatCode=";;;"/>
    </dxf>
    <dxf>
      <numFmt numFmtId="168" formatCode=";;;"/>
    </dxf>
    <dxf>
      <numFmt numFmtId="168" formatCode=";;;"/>
      <fill>
        <patternFill patternType="none">
          <bgColor auto="1"/>
        </patternFill>
      </fill>
    </dxf>
    <dxf>
      <numFmt numFmtId="168" formatCode=";;;"/>
      <fill>
        <patternFill patternType="none">
          <bgColor auto="1"/>
        </patternFill>
      </fill>
    </dxf>
    <dxf>
      <numFmt numFmtId="168" formatCode=";;;"/>
    </dxf>
    <dxf>
      <numFmt numFmtId="168" formatCode=";;;"/>
    </dxf>
    <dxf>
      <numFmt numFmtId="168" formatCode=";;;"/>
    </dxf>
    <dxf>
      <numFmt numFmtId="168" formatCode=";;;"/>
    </dxf>
    <dxf>
      <numFmt numFmtId="168" formatCode=";;;"/>
    </dxf>
    <dxf>
      <numFmt numFmtId="168" formatCode=";;;"/>
      <fill>
        <patternFill patternType="none">
          <bgColor auto="1"/>
        </patternFill>
      </fill>
    </dxf>
    <dxf>
      <numFmt numFmtId="168" formatCode=";;;"/>
      <fill>
        <patternFill patternType="none">
          <bgColor auto="1"/>
        </patternFill>
      </fill>
    </dxf>
    <dxf>
      <numFmt numFmtId="168" formatCode=";;;"/>
    </dxf>
    <dxf>
      <numFmt numFmtId="168" formatCode=";;;"/>
    </dxf>
    <dxf>
      <numFmt numFmtId="168" formatCode=";;;"/>
    </dxf>
    <dxf>
      <numFmt numFmtId="168" formatCode=";;;"/>
    </dxf>
    <dxf>
      <numFmt numFmtId="168" formatCode=";;;"/>
    </dxf>
    <dxf>
      <numFmt numFmtId="168" formatCode=";;;"/>
    </dxf>
    <dxf>
      <numFmt numFmtId="168" formatCode=";;;"/>
    </dxf>
    <dxf>
      <numFmt numFmtId="168" formatCode=";;;"/>
      <fill>
        <patternFill patternType="none">
          <bgColor auto="1"/>
        </patternFill>
      </fill>
    </dxf>
    <dxf>
      <numFmt numFmtId="168" formatCode=";;;"/>
      <fill>
        <patternFill patternType="none">
          <bgColor auto="1"/>
        </patternFill>
      </fill>
    </dxf>
    <dxf>
      <numFmt numFmtId="168" formatCode=";;;"/>
      <fill>
        <patternFill patternType="none">
          <bgColor auto="1"/>
        </patternFill>
      </fill>
    </dxf>
    <dxf>
      <numFmt numFmtId="168" formatCode=";;;"/>
      <fill>
        <patternFill patternType="none">
          <bgColor auto="1"/>
        </patternFill>
      </fill>
    </dxf>
    <dxf>
      <numFmt numFmtId="168" formatCode=";;;"/>
      <fill>
        <patternFill patternType="none">
          <bgColor auto="1"/>
        </patternFill>
      </fill>
    </dxf>
    <dxf>
      <numFmt numFmtId="168" formatCode=";;;"/>
    </dxf>
    <dxf>
      <numFmt numFmtId="168" formatCode=";;;"/>
    </dxf>
    <dxf>
      <numFmt numFmtId="168" formatCode=";;;"/>
    </dxf>
    <dxf>
      <numFmt numFmtId="168" formatCode=";;;"/>
    </dxf>
    <dxf>
      <numFmt numFmtId="168" formatCode=";;;"/>
      <fill>
        <patternFill patternType="none">
          <bgColor auto="1"/>
        </patternFill>
      </fill>
    </dxf>
    <dxf>
      <numFmt numFmtId="168" formatCode=";;;"/>
      <fill>
        <patternFill patternType="none">
          <bgColor auto="1"/>
        </patternFill>
      </fill>
    </dxf>
    <dxf>
      <numFmt numFmtId="168" formatCode=";;;"/>
    </dxf>
    <dxf>
      <numFmt numFmtId="168" formatCode=";;;"/>
    </dxf>
    <dxf>
      <numFmt numFmtId="168" formatCode=";;;"/>
    </dxf>
    <dxf>
      <numFmt numFmtId="168" formatCode=";;;"/>
    </dxf>
    <dxf>
      <numFmt numFmtId="168" formatCode=";;;"/>
    </dxf>
    <dxf>
      <numFmt numFmtId="168" formatCode=";;;"/>
    </dxf>
    <dxf>
      <numFmt numFmtId="168" formatCode=";;;"/>
    </dxf>
    <dxf>
      <numFmt numFmtId="168" formatCode=";;;"/>
    </dxf>
    <dxf>
      <numFmt numFmtId="168" formatCode=";;;"/>
      <fill>
        <patternFill patternType="none">
          <bgColor auto="1"/>
        </patternFill>
      </fill>
    </dxf>
    <dxf>
      <numFmt numFmtId="168" formatCode=";;;"/>
      <fill>
        <patternFill patternType="none">
          <bgColor auto="1"/>
        </patternFill>
      </fill>
    </dxf>
    <dxf>
      <numFmt numFmtId="168" formatCode=";;;"/>
      <fill>
        <patternFill patternType="none">
          <bgColor auto="1"/>
        </patternFill>
      </fill>
    </dxf>
    <dxf>
      <numFmt numFmtId="168" formatCode=";;;"/>
      <fill>
        <patternFill patternType="none">
          <bgColor auto="1"/>
        </patternFill>
      </fill>
    </dxf>
    <dxf>
      <numFmt numFmtId="168" formatCode=";;;"/>
      <fill>
        <patternFill patternType="none">
          <bgColor auto="1"/>
        </patternFill>
      </fill>
    </dxf>
    <dxf>
      <numFmt numFmtId="168" formatCode=";;;"/>
    </dxf>
    <dxf>
      <numFmt numFmtId="168" formatCode=";;;"/>
    </dxf>
    <dxf>
      <numFmt numFmtId="168" formatCode=";;;"/>
    </dxf>
    <dxf>
      <numFmt numFmtId="168" formatCode=";;;"/>
    </dxf>
    <dxf>
      <numFmt numFmtId="168" formatCode=";;;"/>
      <fill>
        <patternFill patternType="none">
          <bgColor auto="1"/>
        </patternFill>
      </fill>
    </dxf>
    <dxf>
      <numFmt numFmtId="168" formatCode=";;;"/>
      <fill>
        <patternFill patternType="none">
          <bgColor auto="1"/>
        </patternFill>
      </fill>
    </dxf>
  </dxfs>
  <tableStyles count="0" defaultTableStyle="TableStyleMedium2" defaultPivotStyle="PivotStyleLight16"/>
  <colors>
    <mruColors>
      <color rgb="FF4799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3467100</xdr:colOff>
      <xdr:row>0</xdr:row>
      <xdr:rowOff>845106</xdr:rowOff>
    </xdr:to>
    <xdr:pic>
      <xdr:nvPicPr>
        <xdr:cNvPr id="3" name="Picture 2" descr="Feed the Future logo" title="Feed the Future logo">
          <a:extLst>
            <a:ext uri="{FF2B5EF4-FFF2-40B4-BE49-F238E27FC236}">
              <a16:creationId xmlns:a16="http://schemas.microsoft.com/office/drawing/2014/main" id="{BCCB3A4C-2AE7-4AEB-8BD1-3533CFB07F5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9755"/>
        <a:stretch/>
      </xdr:blipFill>
      <xdr:spPr>
        <a:xfrm>
          <a:off x="0" y="0"/>
          <a:ext cx="4076700" cy="845106"/>
        </a:xfrm>
        <a:prstGeom prst="rect">
          <a:avLst/>
        </a:prstGeom>
      </xdr:spPr>
    </xdr:pic>
    <xdr:clientData/>
  </xdr:twoCellAnchor>
  <xdr:twoCellAnchor editAs="oneCell">
    <xdr:from>
      <xdr:col>1</xdr:col>
      <xdr:colOff>9525</xdr:colOff>
      <xdr:row>33</xdr:row>
      <xdr:rowOff>28575</xdr:rowOff>
    </xdr:from>
    <xdr:to>
      <xdr:col>1</xdr:col>
      <xdr:colOff>5692527</xdr:colOff>
      <xdr:row>37</xdr:row>
      <xdr:rowOff>46931</xdr:rowOff>
    </xdr:to>
    <xdr:pic>
      <xdr:nvPicPr>
        <xdr:cNvPr id="4" name="Picture 3" descr="USAID, FANTA, and FHI 360 logos" title="USAID, FANTA, and FHI 360 logos">
          <a:extLst>
            <a:ext uri="{FF2B5EF4-FFF2-40B4-BE49-F238E27FC236}">
              <a16:creationId xmlns:a16="http://schemas.microsoft.com/office/drawing/2014/main" id="{2ED1E7F0-1802-4EB5-B294-1005D3990643}"/>
            </a:ext>
          </a:extLst>
        </xdr:cNvPr>
        <xdr:cNvPicPr>
          <a:picLocks noChangeAspect="1"/>
        </xdr:cNvPicPr>
      </xdr:nvPicPr>
      <xdr:blipFill rotWithShape="1">
        <a:blip xmlns:r="http://schemas.openxmlformats.org/officeDocument/2006/relationships" r:embed="rId2"/>
        <a:srcRect l="35889"/>
        <a:stretch/>
      </xdr:blipFill>
      <xdr:spPr>
        <a:xfrm>
          <a:off x="619125" y="9096375"/>
          <a:ext cx="5683002" cy="7803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5</xdr:row>
      <xdr:rowOff>352425</xdr:rowOff>
    </xdr:from>
    <xdr:to>
      <xdr:col>2</xdr:col>
      <xdr:colOff>533399</xdr:colOff>
      <xdr:row>5</xdr:row>
      <xdr:rowOff>522330</xdr:rowOff>
    </xdr:to>
    <xdr:pic>
      <xdr:nvPicPr>
        <xdr:cNvPr id="7" name="Picture 6">
          <a:extLst>
            <a:ext uri="{FF2B5EF4-FFF2-40B4-BE49-F238E27FC236}">
              <a16:creationId xmlns:a16="http://schemas.microsoft.com/office/drawing/2014/main" id="{F8BC87A9-713F-4E02-9A64-E87248948E75}"/>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24075" y="1390650"/>
          <a:ext cx="314324" cy="169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200026</xdr:colOff>
      <xdr:row>7</xdr:row>
      <xdr:rowOff>314325</xdr:rowOff>
    </xdr:from>
    <xdr:to>
      <xdr:col>2</xdr:col>
      <xdr:colOff>542926</xdr:colOff>
      <xdr:row>7</xdr:row>
      <xdr:rowOff>499676</xdr:rowOff>
    </xdr:to>
    <xdr:pic>
      <xdr:nvPicPr>
        <xdr:cNvPr id="8" name="Picture 7">
          <a:extLst>
            <a:ext uri="{FF2B5EF4-FFF2-40B4-BE49-F238E27FC236}">
              <a16:creationId xmlns:a16="http://schemas.microsoft.com/office/drawing/2014/main" id="{3D211754-25CA-43EE-BD7A-D5EA2A43ABCD}"/>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6" y="2552700"/>
          <a:ext cx="342900" cy="185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190500</xdr:colOff>
      <xdr:row>13</xdr:row>
      <xdr:rowOff>85725</xdr:rowOff>
    </xdr:from>
    <xdr:to>
      <xdr:col>2</xdr:col>
      <xdr:colOff>561975</xdr:colOff>
      <xdr:row>13</xdr:row>
      <xdr:rowOff>295275</xdr:rowOff>
    </xdr:to>
    <xdr:pic>
      <xdr:nvPicPr>
        <xdr:cNvPr id="11" name="Picture 10">
          <a:extLst>
            <a:ext uri="{FF2B5EF4-FFF2-40B4-BE49-F238E27FC236}">
              <a16:creationId xmlns:a16="http://schemas.microsoft.com/office/drawing/2014/main" id="{0ECF8C5B-448A-4890-A2DF-7D3FCA095FB4}"/>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95500" y="4152900"/>
          <a:ext cx="37147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219075</xdr:colOff>
      <xdr:row>20</xdr:row>
      <xdr:rowOff>600075</xdr:rowOff>
    </xdr:from>
    <xdr:to>
      <xdr:col>2</xdr:col>
      <xdr:colOff>590550</xdr:colOff>
      <xdr:row>22</xdr:row>
      <xdr:rowOff>9525</xdr:rowOff>
    </xdr:to>
    <xdr:pic>
      <xdr:nvPicPr>
        <xdr:cNvPr id="12" name="Picture 11">
          <a:extLst>
            <a:ext uri="{FF2B5EF4-FFF2-40B4-BE49-F238E27FC236}">
              <a16:creationId xmlns:a16="http://schemas.microsoft.com/office/drawing/2014/main" id="{CD81DEC0-5E38-47E0-9283-2DA15447DFD9}"/>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24075" y="7572375"/>
          <a:ext cx="37147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895350</xdr:colOff>
      <xdr:row>15</xdr:row>
      <xdr:rowOff>285750</xdr:rowOff>
    </xdr:from>
    <xdr:ext cx="65" cy="172227"/>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943725" y="3276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2</xdr:col>
      <xdr:colOff>219075</xdr:colOff>
      <xdr:row>7</xdr:row>
      <xdr:rowOff>190500</xdr:rowOff>
    </xdr:from>
    <xdr:to>
      <xdr:col>2</xdr:col>
      <xdr:colOff>495300</xdr:colOff>
      <xdr:row>7</xdr:row>
      <xdr:rowOff>371475</xdr:rowOff>
    </xdr:to>
    <xdr:pic>
      <xdr:nvPicPr>
        <xdr:cNvPr id="4" name="Picture 3">
          <a:extLst>
            <a:ext uri="{FF2B5EF4-FFF2-40B4-BE49-F238E27FC236}">
              <a16:creationId xmlns:a16="http://schemas.microsoft.com/office/drawing/2014/main" id="{9F72E22C-674D-4D4B-B7F8-EE7A0D0360BC}"/>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24075" y="1619250"/>
          <a:ext cx="2762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200025</xdr:colOff>
      <xdr:row>11</xdr:row>
      <xdr:rowOff>104775</xdr:rowOff>
    </xdr:from>
    <xdr:to>
      <xdr:col>2</xdr:col>
      <xdr:colOff>466725</xdr:colOff>
      <xdr:row>11</xdr:row>
      <xdr:rowOff>304800</xdr:rowOff>
    </xdr:to>
    <xdr:pic>
      <xdr:nvPicPr>
        <xdr:cNvPr id="5" name="Picture 4">
          <a:extLst>
            <a:ext uri="{FF2B5EF4-FFF2-40B4-BE49-F238E27FC236}">
              <a16:creationId xmlns:a16="http://schemas.microsoft.com/office/drawing/2014/main" id="{157000F0-7596-4F25-B94A-6B77B4A54421}"/>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2867025"/>
          <a:ext cx="2667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200025</xdr:colOff>
      <xdr:row>18</xdr:row>
      <xdr:rowOff>600075</xdr:rowOff>
    </xdr:from>
    <xdr:to>
      <xdr:col>2</xdr:col>
      <xdr:colOff>466725</xdr:colOff>
      <xdr:row>20</xdr:row>
      <xdr:rowOff>0</xdr:rowOff>
    </xdr:to>
    <xdr:pic>
      <xdr:nvPicPr>
        <xdr:cNvPr id="6" name="Picture 5">
          <a:extLst>
            <a:ext uri="{FF2B5EF4-FFF2-40B4-BE49-F238E27FC236}">
              <a16:creationId xmlns:a16="http://schemas.microsoft.com/office/drawing/2014/main" id="{EC156B18-3022-4B2D-BF14-A7224297A2EF}"/>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6391275"/>
          <a:ext cx="2667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123826</xdr:colOff>
      <xdr:row>8</xdr:row>
      <xdr:rowOff>190500</xdr:rowOff>
    </xdr:from>
    <xdr:to>
      <xdr:col>2</xdr:col>
      <xdr:colOff>544830</xdr:colOff>
      <xdr:row>9</xdr:row>
      <xdr:rowOff>0</xdr:rowOff>
    </xdr:to>
    <xdr:pic>
      <xdr:nvPicPr>
        <xdr:cNvPr id="5" name="Picture 4">
          <a:extLst>
            <a:ext uri="{FF2B5EF4-FFF2-40B4-BE49-F238E27FC236}">
              <a16:creationId xmlns:a16="http://schemas.microsoft.com/office/drawing/2014/main" id="{B2337061-ADB3-4DB0-80D2-7AD6FE85B9BB}"/>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28826" y="2352675"/>
          <a:ext cx="42100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133350</xdr:colOff>
      <xdr:row>10</xdr:row>
      <xdr:rowOff>495300</xdr:rowOff>
    </xdr:from>
    <xdr:to>
      <xdr:col>2</xdr:col>
      <xdr:colOff>542017</xdr:colOff>
      <xdr:row>10</xdr:row>
      <xdr:rowOff>657225</xdr:rowOff>
    </xdr:to>
    <xdr:pic>
      <xdr:nvPicPr>
        <xdr:cNvPr id="6" name="Picture 5">
          <a:extLst>
            <a:ext uri="{FF2B5EF4-FFF2-40B4-BE49-F238E27FC236}">
              <a16:creationId xmlns:a16="http://schemas.microsoft.com/office/drawing/2014/main" id="{AEB2D2DE-CDF2-4A01-AC88-DCB0FF102E36}"/>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38350" y="3590925"/>
          <a:ext cx="408667"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HZOEB8C2nvQ3qBAFq0W83volPVtbiNaC/vie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49"/>
  <sheetViews>
    <sheetView topLeftCell="A2" workbookViewId="0">
      <selection activeCell="B8" sqref="B8"/>
    </sheetView>
  </sheetViews>
  <sheetFormatPr defaultColWidth="9.1796875" defaultRowHeight="14.5" x14ac:dyDescent="0.35"/>
  <cols>
    <col min="1" max="1" width="9.1796875" style="68"/>
    <col min="2" max="2" width="149.26953125" style="68" customWidth="1"/>
    <col min="3" max="16384" width="9.1796875" style="68"/>
  </cols>
  <sheetData>
    <row r="1" spans="2:6" ht="87" customHeight="1" thickBot="1" x14ac:dyDescent="0.4"/>
    <row r="2" spans="2:6" ht="48" customHeight="1" thickBot="1" x14ac:dyDescent="0.55000000000000004">
      <c r="B2" s="69" t="s">
        <v>0</v>
      </c>
    </row>
    <row r="3" spans="2:6" ht="29.5" x14ac:dyDescent="0.35">
      <c r="B3" s="83"/>
    </row>
    <row r="4" spans="2:6" ht="87" x14ac:dyDescent="0.35">
      <c r="B4" s="70" t="s">
        <v>1</v>
      </c>
    </row>
    <row r="5" spans="2:6" x14ac:dyDescent="0.35">
      <c r="B5" s="70"/>
    </row>
    <row r="6" spans="2:6" ht="43.5" x14ac:dyDescent="0.35">
      <c r="B6" s="70" t="s">
        <v>2</v>
      </c>
    </row>
    <row r="7" spans="2:6" ht="15" thickBot="1" x14ac:dyDescent="0.4">
      <c r="B7" s="71"/>
    </row>
    <row r="8" spans="2:6" ht="15" thickBot="1" x14ac:dyDescent="0.4">
      <c r="B8" s="115" t="s">
        <v>3</v>
      </c>
    </row>
    <row r="9" spans="2:6" x14ac:dyDescent="0.35">
      <c r="B9" s="84"/>
    </row>
    <row r="10" spans="2:6" x14ac:dyDescent="0.35">
      <c r="B10" s="71" t="s">
        <v>4</v>
      </c>
    </row>
    <row r="11" spans="2:6" x14ac:dyDescent="0.35">
      <c r="B11" s="71"/>
    </row>
    <row r="12" spans="2:6" x14ac:dyDescent="0.35">
      <c r="B12" s="71" t="s">
        <v>5</v>
      </c>
    </row>
    <row r="13" spans="2:6" ht="16.5" customHeight="1" x14ac:dyDescent="0.35">
      <c r="B13" s="72" t="s">
        <v>6</v>
      </c>
    </row>
    <row r="14" spans="2:6" ht="15" customHeight="1" x14ac:dyDescent="0.35">
      <c r="B14" s="73" t="s">
        <v>7</v>
      </c>
      <c r="C14" s="74"/>
      <c r="D14" s="74"/>
      <c r="E14" s="74"/>
      <c r="F14" s="74"/>
    </row>
    <row r="15" spans="2:6" ht="24.75" customHeight="1" x14ac:dyDescent="0.35">
      <c r="B15" s="75" t="s">
        <v>8</v>
      </c>
      <c r="C15" s="76"/>
      <c r="D15" s="76"/>
      <c r="E15" s="76"/>
      <c r="F15" s="76"/>
    </row>
    <row r="16" spans="2:6" ht="17" x14ac:dyDescent="0.35">
      <c r="B16" s="72" t="s">
        <v>9</v>
      </c>
    </row>
    <row r="17" spans="2:6" x14ac:dyDescent="0.35">
      <c r="B17" s="73" t="s">
        <v>10</v>
      </c>
      <c r="C17" s="74"/>
      <c r="D17" s="74"/>
      <c r="E17" s="74"/>
      <c r="F17" s="74"/>
    </row>
    <row r="18" spans="2:6" ht="23.25" customHeight="1" x14ac:dyDescent="0.35">
      <c r="B18" s="75" t="s">
        <v>11</v>
      </c>
      <c r="C18" s="76"/>
      <c r="D18" s="76"/>
      <c r="E18" s="76"/>
      <c r="F18" s="76"/>
    </row>
    <row r="19" spans="2:6" ht="17" x14ac:dyDescent="0.35">
      <c r="B19" s="72" t="s">
        <v>12</v>
      </c>
    </row>
    <row r="20" spans="2:6" x14ac:dyDescent="0.35">
      <c r="B20" s="73" t="s">
        <v>13</v>
      </c>
      <c r="C20" s="74"/>
      <c r="D20" s="74"/>
      <c r="E20" s="74"/>
      <c r="F20" s="74"/>
    </row>
    <row r="21" spans="2:6" ht="23.25" customHeight="1" x14ac:dyDescent="0.35">
      <c r="B21" s="75" t="s">
        <v>14</v>
      </c>
      <c r="C21" s="76"/>
      <c r="D21" s="76"/>
      <c r="E21" s="76"/>
      <c r="F21" s="76"/>
    </row>
    <row r="22" spans="2:6" ht="17" x14ac:dyDescent="0.35">
      <c r="B22" s="72" t="s">
        <v>15</v>
      </c>
    </row>
    <row r="23" spans="2:6" x14ac:dyDescent="0.35">
      <c r="B23" s="73" t="s">
        <v>16</v>
      </c>
      <c r="C23" s="74"/>
      <c r="D23" s="74"/>
      <c r="E23" s="74"/>
      <c r="F23" s="74"/>
    </row>
    <row r="24" spans="2:6" ht="26.25" customHeight="1" x14ac:dyDescent="0.35">
      <c r="B24" s="75" t="s">
        <v>17</v>
      </c>
      <c r="C24" s="76"/>
      <c r="D24" s="76"/>
      <c r="E24" s="76"/>
      <c r="F24" s="76"/>
    </row>
    <row r="25" spans="2:6" ht="17" x14ac:dyDescent="0.35">
      <c r="B25" s="72" t="s">
        <v>18</v>
      </c>
      <c r="C25" s="77"/>
      <c r="D25" s="77"/>
      <c r="E25" s="77"/>
      <c r="F25" s="77"/>
    </row>
    <row r="26" spans="2:6" x14ac:dyDescent="0.35">
      <c r="B26" s="73" t="s">
        <v>19</v>
      </c>
      <c r="C26" s="74"/>
      <c r="D26" s="74"/>
      <c r="E26" s="74"/>
      <c r="F26" s="74"/>
    </row>
    <row r="27" spans="2:6" ht="22.5" customHeight="1" x14ac:dyDescent="0.35">
      <c r="B27" s="75" t="s">
        <v>20</v>
      </c>
      <c r="C27" s="76"/>
      <c r="D27" s="76"/>
      <c r="E27" s="76"/>
      <c r="F27" s="76"/>
    </row>
    <row r="28" spans="2:6" ht="17" x14ac:dyDescent="0.4">
      <c r="B28" s="78" t="s">
        <v>21</v>
      </c>
      <c r="C28" s="79"/>
      <c r="D28" s="79"/>
      <c r="E28" s="79"/>
      <c r="F28" s="79"/>
    </row>
    <row r="29" spans="2:6" x14ac:dyDescent="0.35">
      <c r="B29" s="73" t="s">
        <v>22</v>
      </c>
      <c r="C29" s="74"/>
      <c r="D29" s="74"/>
      <c r="E29" s="74"/>
      <c r="F29" s="74"/>
    </row>
    <row r="30" spans="2:6" x14ac:dyDescent="0.35">
      <c r="B30" s="75"/>
      <c r="C30" s="76"/>
      <c r="D30" s="76"/>
      <c r="E30" s="76"/>
      <c r="F30" s="76"/>
    </row>
    <row r="31" spans="2:6" ht="21" x14ac:dyDescent="0.5">
      <c r="B31" s="80" t="s">
        <v>23</v>
      </c>
    </row>
    <row r="32" spans="2:6" ht="39" customHeight="1" thickBot="1" x14ac:dyDescent="0.4">
      <c r="B32" s="81" t="s">
        <v>24</v>
      </c>
    </row>
    <row r="33" spans="2:2" ht="17.25" customHeight="1" x14ac:dyDescent="0.35"/>
    <row r="39" spans="2:2" x14ac:dyDescent="0.35">
      <c r="B39" s="82" t="s">
        <v>25</v>
      </c>
    </row>
    <row r="40" spans="2:2" x14ac:dyDescent="0.35">
      <c r="B40" s="68" t="s">
        <v>26</v>
      </c>
    </row>
    <row r="41" spans="2:2" x14ac:dyDescent="0.35">
      <c r="B41" s="68" t="s">
        <v>27</v>
      </c>
    </row>
    <row r="42" spans="2:2" x14ac:dyDescent="0.35">
      <c r="B42" s="68" t="s">
        <v>28</v>
      </c>
    </row>
    <row r="43" spans="2:2" x14ac:dyDescent="0.35">
      <c r="B43" s="68" t="s">
        <v>29</v>
      </c>
    </row>
    <row r="45" spans="2:2" x14ac:dyDescent="0.35">
      <c r="B45" s="68" t="s">
        <v>30</v>
      </c>
    </row>
    <row r="46" spans="2:2" x14ac:dyDescent="0.35">
      <c r="B46" s="68" t="s">
        <v>31</v>
      </c>
    </row>
    <row r="48" spans="2:2" x14ac:dyDescent="0.35">
      <c r="B48" s="68" t="s">
        <v>32</v>
      </c>
    </row>
    <row r="49" spans="2:2" x14ac:dyDescent="0.35">
      <c r="B49" s="68" t="s">
        <v>33</v>
      </c>
    </row>
  </sheetData>
  <sheetProtection algorithmName="SHA-512" hashValue="7sBIryFthECb5VoATaS/2hp4BlvUErKHiIZ5xgWInVIWeKt1P0m++uN9UWRPBeHB0GNJYOWRtK6QaaSXf2JZUw==" saltValue="GdXY4wM2kFQiFw7QX863BQ==" spinCount="100000" sheet="1" selectLockedCells="1"/>
  <hyperlinks>
    <hyperlink ref="B8" r:id="rId1" xr:uid="{D8E0A629-D7AA-4C05-B14A-7676937AABEE}"/>
  </hyperlinks>
  <pageMargins left="0.7" right="0.7" top="0.75" bottom="0.75" header="0.3" footer="0.3"/>
  <pageSetup orientation="portrait" horizontalDpi="4294967295" verticalDpi="4294967295"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48"/>
  <sheetViews>
    <sheetView showGridLines="0" topLeftCell="A36" workbookViewId="0">
      <selection activeCell="E28" sqref="E28"/>
    </sheetView>
  </sheetViews>
  <sheetFormatPr defaultRowHeight="14.5" x14ac:dyDescent="0.35"/>
  <cols>
    <col min="2" max="2" width="19.453125" customWidth="1"/>
    <col min="3" max="3" width="14.81640625" customWidth="1"/>
    <col min="4" max="4" width="46" customWidth="1"/>
    <col min="5" max="5" width="15.453125" customWidth="1"/>
    <col min="6" max="6" width="20.1796875" customWidth="1"/>
    <col min="13" max="13" width="15.453125" hidden="1" customWidth="1"/>
    <col min="14" max="14" width="0" hidden="1" customWidth="1"/>
  </cols>
  <sheetData>
    <row r="2" spans="2:14" ht="16.5" customHeight="1" thickBot="1" x14ac:dyDescent="0.4"/>
    <row r="3" spans="2:14" x14ac:dyDescent="0.35">
      <c r="B3" s="27"/>
      <c r="C3" s="28"/>
      <c r="D3" s="28"/>
      <c r="E3" s="28"/>
      <c r="F3" s="29"/>
    </row>
    <row r="4" spans="2:14" ht="17" x14ac:dyDescent="0.35">
      <c r="B4" s="66" t="s">
        <v>6</v>
      </c>
      <c r="F4" s="31"/>
    </row>
    <row r="5" spans="2:14" ht="17" thickBot="1" x14ac:dyDescent="0.5">
      <c r="B5" s="121" t="s">
        <v>7</v>
      </c>
      <c r="C5" s="122"/>
      <c r="D5" s="122"/>
      <c r="E5" s="122"/>
      <c r="F5" s="123"/>
      <c r="M5" s="4" t="s">
        <v>34</v>
      </c>
      <c r="N5" s="1" t="s">
        <v>35</v>
      </c>
    </row>
    <row r="6" spans="2:14" ht="46.5" customHeight="1" x14ac:dyDescent="0.45">
      <c r="B6" s="45" t="s">
        <v>36</v>
      </c>
      <c r="C6" s="46" t="s">
        <v>37</v>
      </c>
      <c r="D6" s="47" t="s">
        <v>38</v>
      </c>
      <c r="E6" s="85">
        <v>0.21</v>
      </c>
      <c r="F6" s="48" t="s">
        <v>39</v>
      </c>
      <c r="M6" s="3">
        <v>0.9</v>
      </c>
      <c r="N6" s="3">
        <v>1.28</v>
      </c>
    </row>
    <row r="7" spans="2:14" ht="43.5" customHeight="1" x14ac:dyDescent="0.35">
      <c r="B7" s="30"/>
      <c r="C7" s="2"/>
      <c r="E7" s="34" t="str">
        <f>IF(OR(E6&lt;=0,E6&gt;1), "Value out of range; re-enter value", " ")</f>
        <v xml:space="preserve"> </v>
      </c>
      <c r="F7" s="31"/>
      <c r="M7" s="3">
        <v>0.95</v>
      </c>
      <c r="N7" s="3">
        <v>1.64</v>
      </c>
    </row>
    <row r="8" spans="2:14" ht="54.5" x14ac:dyDescent="0.45">
      <c r="B8" s="30"/>
      <c r="C8" s="2" t="s">
        <v>40</v>
      </c>
      <c r="D8" s="1" t="s">
        <v>41</v>
      </c>
      <c r="E8" s="86">
        <v>0.15</v>
      </c>
      <c r="F8" s="33" t="s">
        <v>42</v>
      </c>
      <c r="M8" s="3">
        <v>0.97499999999999998</v>
      </c>
      <c r="N8" s="3">
        <v>1.96</v>
      </c>
    </row>
    <row r="9" spans="2:14" ht="44.25" customHeight="1" x14ac:dyDescent="0.35">
      <c r="B9" s="30"/>
      <c r="C9" s="2"/>
      <c r="E9" s="34" t="str">
        <f>IF(OR(OR(E8&lt;=0,E8&gt;1),E6=E8), "Value out of range; re-enter value", " ")</f>
        <v xml:space="preserve"> </v>
      </c>
      <c r="F9" s="31"/>
    </row>
    <row r="10" spans="2:14" x14ac:dyDescent="0.35">
      <c r="B10" s="30"/>
      <c r="C10" s="64" t="s">
        <v>43</v>
      </c>
      <c r="D10" s="5" t="s">
        <v>44</v>
      </c>
      <c r="E10" s="86">
        <v>0.95</v>
      </c>
      <c r="F10" s="35" t="s">
        <v>45</v>
      </c>
    </row>
    <row r="11" spans="2:14" ht="16.5" x14ac:dyDescent="0.45">
      <c r="B11" s="30"/>
      <c r="E11" s="2"/>
      <c r="F11" s="31"/>
      <c r="M11" s="4" t="s">
        <v>46</v>
      </c>
      <c r="N11" s="4" t="s">
        <v>47</v>
      </c>
    </row>
    <row r="12" spans="2:14" ht="16.5" x14ac:dyDescent="0.45">
      <c r="B12" s="30"/>
      <c r="C12" s="2" t="s">
        <v>48</v>
      </c>
      <c r="D12" s="1" t="s">
        <v>49</v>
      </c>
      <c r="E12" s="17">
        <f>NORMSINV(E10)</f>
        <v>1.6448536269514715</v>
      </c>
      <c r="F12" s="31"/>
      <c r="M12" s="4"/>
      <c r="N12" s="4"/>
    </row>
    <row r="13" spans="2:14" x14ac:dyDescent="0.35">
      <c r="B13" s="30"/>
      <c r="C13" s="2"/>
      <c r="E13" s="2"/>
      <c r="F13" s="31"/>
      <c r="M13" s="4"/>
      <c r="N13" s="4"/>
    </row>
    <row r="14" spans="2:14" x14ac:dyDescent="0.35">
      <c r="B14" s="30"/>
      <c r="C14" s="64" t="s">
        <v>50</v>
      </c>
      <c r="D14" s="5" t="s">
        <v>51</v>
      </c>
      <c r="E14" s="86">
        <v>0.8</v>
      </c>
      <c r="F14" s="35" t="s">
        <v>45</v>
      </c>
      <c r="M14" s="3">
        <v>0.7</v>
      </c>
      <c r="N14" s="3">
        <v>0.53</v>
      </c>
    </row>
    <row r="15" spans="2:14" x14ac:dyDescent="0.35">
      <c r="B15" s="30"/>
      <c r="C15" s="2"/>
      <c r="E15" s="2"/>
      <c r="F15" s="31"/>
      <c r="M15" s="3">
        <v>0.8</v>
      </c>
      <c r="N15" s="3">
        <v>0.84</v>
      </c>
    </row>
    <row r="16" spans="2:14" ht="16.5" x14ac:dyDescent="0.45">
      <c r="B16" s="30"/>
      <c r="C16" s="2" t="s">
        <v>52</v>
      </c>
      <c r="D16" s="1" t="s">
        <v>53</v>
      </c>
      <c r="E16" s="17">
        <f>NORMSINV(E14)</f>
        <v>0.84162123357291474</v>
      </c>
      <c r="F16" s="31"/>
      <c r="M16" s="3">
        <v>0.9</v>
      </c>
      <c r="N16" s="3">
        <v>1.28</v>
      </c>
    </row>
    <row r="17" spans="2:14" x14ac:dyDescent="0.35">
      <c r="B17" s="30"/>
      <c r="C17" s="2"/>
      <c r="E17" s="2"/>
      <c r="F17" s="31"/>
    </row>
    <row r="18" spans="2:14" ht="45" customHeight="1" x14ac:dyDescent="0.45">
      <c r="B18" s="30"/>
      <c r="C18" s="64" t="s">
        <v>54</v>
      </c>
      <c r="D18" s="1" t="s">
        <v>55</v>
      </c>
      <c r="E18" s="86">
        <v>1.9</v>
      </c>
      <c r="F18" s="33" t="s">
        <v>56</v>
      </c>
    </row>
    <row r="19" spans="2:14" ht="45" customHeight="1" x14ac:dyDescent="0.35">
      <c r="B19" s="30"/>
      <c r="C19" s="2"/>
      <c r="E19" s="34" t="str">
        <f>IF(OR(E18&lt;=0,E18&gt;10), "Value out of range; re-enter value", " ")</f>
        <v xml:space="preserve"> </v>
      </c>
      <c r="F19" s="31"/>
      <c r="M19" t="s">
        <v>57</v>
      </c>
      <c r="N19">
        <f>(E6+E8)/2</f>
        <v>0.18</v>
      </c>
    </row>
    <row r="20" spans="2:14" ht="16.5" x14ac:dyDescent="0.45">
      <c r="B20" s="30"/>
      <c r="C20" s="26" t="s">
        <v>58</v>
      </c>
      <c r="D20" s="36" t="s">
        <v>59</v>
      </c>
      <c r="E20" s="26">
        <f>ROUNDUP(E18*((N23+N24)/(E6-E8))^2,0)</f>
        <v>962</v>
      </c>
      <c r="F20" s="31"/>
      <c r="M20" t="s">
        <v>60</v>
      </c>
      <c r="N20">
        <f>N19*(1-N19)</f>
        <v>0.14760000000000001</v>
      </c>
    </row>
    <row r="21" spans="2:14" x14ac:dyDescent="0.35">
      <c r="B21" s="30"/>
      <c r="C21" s="2"/>
      <c r="F21" s="31"/>
      <c r="M21" t="s">
        <v>61</v>
      </c>
      <c r="N21">
        <f>E6*(1-E6)</f>
        <v>0.16589999999999999</v>
      </c>
    </row>
    <row r="22" spans="2:14" ht="15" thickBot="1" x14ac:dyDescent="0.4">
      <c r="B22" s="42"/>
      <c r="C22" s="49"/>
      <c r="D22" s="43"/>
      <c r="E22" s="43"/>
      <c r="F22" s="44"/>
      <c r="M22" t="s">
        <v>62</v>
      </c>
      <c r="N22">
        <f>E8*(1-E8)</f>
        <v>0.1275</v>
      </c>
    </row>
    <row r="23" spans="2:14" ht="29" x14ac:dyDescent="0.35">
      <c r="B23" s="45" t="s">
        <v>63</v>
      </c>
      <c r="C23" s="46"/>
      <c r="D23" s="50" t="s">
        <v>64</v>
      </c>
      <c r="E23" s="51"/>
      <c r="F23" s="52"/>
      <c r="G23" s="14"/>
      <c r="H23" s="14"/>
      <c r="I23" s="14"/>
      <c r="J23" s="14"/>
      <c r="K23" s="14"/>
      <c r="M23" t="s">
        <v>65</v>
      </c>
      <c r="N23">
        <f>E12*SQRT(2*N20)</f>
        <v>0.89368698527446699</v>
      </c>
    </row>
    <row r="24" spans="2:14" x14ac:dyDescent="0.35">
      <c r="B24" s="30"/>
      <c r="C24" s="2"/>
      <c r="F24" s="31"/>
      <c r="M24" t="s">
        <v>66</v>
      </c>
      <c r="N24">
        <f>E16*SQRT(N21+N22)</f>
        <v>0.45587601017705809</v>
      </c>
    </row>
    <row r="25" spans="2:14" x14ac:dyDescent="0.35">
      <c r="B25" s="30"/>
      <c r="C25" s="2"/>
      <c r="D25" t="s">
        <v>67</v>
      </c>
      <c r="E25" s="86" t="s">
        <v>68</v>
      </c>
      <c r="F25" s="35" t="s">
        <v>45</v>
      </c>
    </row>
    <row r="26" spans="2:14" ht="70.5" customHeight="1" x14ac:dyDescent="0.35">
      <c r="B26" s="30"/>
      <c r="C26" s="2"/>
      <c r="E26" s="53" t="str">
        <f>IF(E25="Household", "If household level indicator, skip to adjustment 2"," ")</f>
        <v xml:space="preserve"> </v>
      </c>
      <c r="F26" s="31"/>
      <c r="M26" s="16" t="s">
        <v>68</v>
      </c>
    </row>
    <row r="27" spans="2:14" x14ac:dyDescent="0.35">
      <c r="B27" s="30"/>
      <c r="C27" s="2"/>
      <c r="D27" t="s">
        <v>69</v>
      </c>
      <c r="F27" s="31"/>
      <c r="M27" s="16" t="s">
        <v>70</v>
      </c>
    </row>
    <row r="28" spans="2:14" ht="39.5" x14ac:dyDescent="0.35">
      <c r="B28" s="30"/>
      <c r="C28" s="2"/>
      <c r="D28" s="15" t="s">
        <v>71</v>
      </c>
      <c r="E28" s="86">
        <v>0.21</v>
      </c>
      <c r="F28" s="33" t="s">
        <v>39</v>
      </c>
    </row>
    <row r="29" spans="2:14" ht="45" customHeight="1" x14ac:dyDescent="0.35">
      <c r="B29" s="30"/>
      <c r="C29" s="2"/>
      <c r="D29" s="15"/>
      <c r="E29" s="34" t="str">
        <f>IF(OR(E28&lt;=0,E28&gt;1), "Value out of range; re-enter value", " ")</f>
        <v xml:space="preserve"> </v>
      </c>
      <c r="F29" s="33"/>
    </row>
    <row r="30" spans="2:14" ht="39.5" x14ac:dyDescent="0.35">
      <c r="B30" s="30"/>
      <c r="C30" s="2"/>
      <c r="D30" s="15" t="s">
        <v>72</v>
      </c>
      <c r="E30" s="86">
        <v>5.9</v>
      </c>
      <c r="F30" s="33" t="s">
        <v>73</v>
      </c>
    </row>
    <row r="31" spans="2:14" ht="48.75" customHeight="1" x14ac:dyDescent="0.35">
      <c r="B31" s="30"/>
      <c r="C31" s="2"/>
      <c r="D31" s="12"/>
      <c r="E31" s="34" t="str">
        <f>IF(OR(E30&lt;1,E30&gt;10), "Value out of range; re-enter value", " ")</f>
        <v xml:space="preserve"> </v>
      </c>
      <c r="F31" s="31"/>
    </row>
    <row r="32" spans="2:14" ht="15" thickBot="1" x14ac:dyDescent="0.4">
      <c r="B32" s="30"/>
      <c r="C32" s="39" t="s">
        <v>74</v>
      </c>
      <c r="D32" s="15" t="s">
        <v>75</v>
      </c>
      <c r="E32" s="17">
        <f>E28*E30</f>
        <v>1.2390000000000001</v>
      </c>
      <c r="F32" s="35"/>
    </row>
    <row r="33" spans="2:12" ht="30" customHeight="1" thickBot="1" x14ac:dyDescent="0.4">
      <c r="B33" s="30"/>
      <c r="C33" s="2"/>
      <c r="E33" s="2"/>
      <c r="F33" s="31"/>
      <c r="H33" s="118" t="s">
        <v>76</v>
      </c>
      <c r="I33" s="119"/>
      <c r="J33" s="119"/>
      <c r="K33" s="119"/>
      <c r="L33" s="120"/>
    </row>
    <row r="34" spans="2:12" ht="31.5" hidden="1" customHeight="1" thickBot="1" x14ac:dyDescent="0.4">
      <c r="B34" s="30"/>
      <c r="C34" s="99" t="s">
        <v>77</v>
      </c>
      <c r="E34" s="2">
        <f>(1+$E$32)*EXP((-1)*$E$32)</f>
        <v>0.64857951930314728</v>
      </c>
      <c r="F34" s="31"/>
      <c r="H34" s="101"/>
      <c r="I34" s="102"/>
      <c r="J34" s="102"/>
      <c r="K34" s="102"/>
      <c r="L34" s="103"/>
    </row>
    <row r="35" spans="2:12" ht="30" customHeight="1" x14ac:dyDescent="0.35">
      <c r="B35" s="30"/>
      <c r="C35" s="15" t="s">
        <v>78</v>
      </c>
      <c r="D35" s="38" t="s">
        <v>79</v>
      </c>
      <c r="E35" s="100">
        <f>(0.5*($E$34+1))/(1-(EXP((-1)*$E$32)))</f>
        <v>1.1604382578443777</v>
      </c>
      <c r="F35" s="31"/>
      <c r="H35" s="54"/>
      <c r="I35" s="55"/>
      <c r="J35" s="55"/>
      <c r="K35" s="55"/>
      <c r="L35" s="56"/>
    </row>
    <row r="36" spans="2:12" ht="30" customHeight="1" x14ac:dyDescent="0.35">
      <c r="B36" s="30"/>
      <c r="C36" s="15"/>
      <c r="E36" s="100"/>
      <c r="F36" s="31"/>
      <c r="H36" s="96"/>
      <c r="I36" s="97"/>
      <c r="J36" s="97"/>
      <c r="K36" s="97"/>
      <c r="L36" s="98"/>
    </row>
    <row r="37" spans="2:12" ht="29" x14ac:dyDescent="0.35">
      <c r="B37" s="30"/>
      <c r="C37" s="15" t="s">
        <v>80</v>
      </c>
      <c r="D37" s="38" t="s">
        <v>81</v>
      </c>
      <c r="E37" s="18">
        <f>ROUNDUP($E$20*$E$35,0)</f>
        <v>1117</v>
      </c>
      <c r="F37" s="31"/>
      <c r="H37" s="90"/>
      <c r="I37" s="91"/>
      <c r="J37" s="91"/>
      <c r="K37" s="91"/>
      <c r="L37" s="92"/>
    </row>
    <row r="38" spans="2:12" ht="45" customHeight="1" x14ac:dyDescent="0.35">
      <c r="B38" s="30"/>
      <c r="C38" s="2"/>
      <c r="E38" s="2"/>
      <c r="F38" s="31"/>
      <c r="H38" s="90"/>
      <c r="I38" s="91"/>
      <c r="J38" s="91"/>
      <c r="K38" s="91"/>
      <c r="L38" s="92"/>
    </row>
    <row r="39" spans="2:12" ht="28" x14ac:dyDescent="0.4">
      <c r="B39" s="30"/>
      <c r="C39" s="25" t="s">
        <v>82</v>
      </c>
      <c r="D39" s="21" t="s">
        <v>83</v>
      </c>
      <c r="E39" s="20">
        <f>IF(E25="Household",E20,E37)</f>
        <v>1117</v>
      </c>
      <c r="F39" s="31"/>
      <c r="H39" s="90"/>
      <c r="I39" s="91"/>
      <c r="J39" s="91"/>
      <c r="K39" s="91"/>
      <c r="L39" s="92"/>
    </row>
    <row r="40" spans="2:12" ht="15" thickBot="1" x14ac:dyDescent="0.4">
      <c r="B40" s="42"/>
      <c r="C40" s="49"/>
      <c r="D40" s="43"/>
      <c r="E40" s="43"/>
      <c r="F40" s="44"/>
      <c r="H40" s="90"/>
      <c r="I40" s="91"/>
      <c r="J40" s="91"/>
      <c r="K40" s="91"/>
      <c r="L40" s="92"/>
    </row>
    <row r="41" spans="2:12" ht="36" customHeight="1" x14ac:dyDescent="0.45">
      <c r="B41" s="32" t="s">
        <v>84</v>
      </c>
      <c r="C41" s="2"/>
      <c r="D41" s="13" t="s">
        <v>85</v>
      </c>
      <c r="E41" s="22"/>
      <c r="F41" s="40"/>
      <c r="H41" s="90"/>
      <c r="I41" s="91"/>
      <c r="J41" s="91"/>
      <c r="K41" s="91"/>
      <c r="L41" s="92"/>
    </row>
    <row r="42" spans="2:12" x14ac:dyDescent="0.35">
      <c r="B42" s="30"/>
      <c r="F42" s="31"/>
      <c r="H42" s="90"/>
      <c r="I42" s="91"/>
      <c r="J42" s="91"/>
      <c r="K42" s="91"/>
      <c r="L42" s="92"/>
    </row>
    <row r="43" spans="2:12" ht="40.5" customHeight="1" x14ac:dyDescent="0.35">
      <c r="B43" s="30"/>
      <c r="D43" s="105" t="s">
        <v>86</v>
      </c>
      <c r="E43" s="87">
        <v>1.3</v>
      </c>
      <c r="F43" s="33" t="s">
        <v>87</v>
      </c>
      <c r="H43" s="90"/>
      <c r="I43" s="91"/>
      <c r="J43" s="91"/>
      <c r="K43" s="91"/>
      <c r="L43" s="92"/>
    </row>
    <row r="44" spans="2:12" ht="30" customHeight="1" x14ac:dyDescent="0.35">
      <c r="B44" s="30"/>
      <c r="D44" s="23"/>
      <c r="E44" s="34" t="str">
        <f>IF(OR(E43&lt;0,E43&gt;=100), "Value out of range; re-enter value", " ")</f>
        <v xml:space="preserve"> </v>
      </c>
      <c r="F44" s="41"/>
      <c r="H44" s="90"/>
      <c r="I44" s="91"/>
      <c r="J44" s="91"/>
      <c r="K44" s="91"/>
      <c r="L44" s="92"/>
    </row>
    <row r="45" spans="2:12" ht="42" customHeight="1" x14ac:dyDescent="0.35">
      <c r="B45" s="30"/>
      <c r="C45" s="15" t="s">
        <v>88</v>
      </c>
      <c r="D45" s="38" t="s">
        <v>89</v>
      </c>
      <c r="E45" s="104">
        <f>(1/(1-($E$43/100)))</f>
        <v>1.0131712259371835</v>
      </c>
      <c r="F45" s="41"/>
      <c r="H45" s="90"/>
      <c r="I45" s="91"/>
      <c r="J45" s="91"/>
      <c r="K45" s="91"/>
      <c r="L45" s="92"/>
    </row>
    <row r="46" spans="2:12" ht="45" customHeight="1" x14ac:dyDescent="0.35">
      <c r="B46" s="30"/>
      <c r="D46" s="23"/>
      <c r="E46" s="34"/>
      <c r="F46" s="41"/>
      <c r="H46" s="90"/>
      <c r="I46" s="91"/>
      <c r="J46" s="91"/>
      <c r="K46" s="91"/>
      <c r="L46" s="92"/>
    </row>
    <row r="47" spans="2:12" ht="16.5" x14ac:dyDescent="0.45">
      <c r="B47" s="30"/>
      <c r="C47" s="106" t="s">
        <v>90</v>
      </c>
      <c r="D47" s="19" t="s">
        <v>91</v>
      </c>
      <c r="E47" s="24">
        <f>ROUNDUP((($E$39)*($E$45)),0)</f>
        <v>1132</v>
      </c>
      <c r="F47" s="31"/>
      <c r="H47" s="90"/>
      <c r="I47" s="91"/>
      <c r="J47" s="91"/>
      <c r="K47" s="91"/>
      <c r="L47" s="92"/>
    </row>
    <row r="48" spans="2:12" ht="15" thickBot="1" x14ac:dyDescent="0.4">
      <c r="B48" s="42"/>
      <c r="C48" s="43"/>
      <c r="D48" s="43"/>
      <c r="E48" s="43"/>
      <c r="F48" s="44"/>
      <c r="H48" s="93"/>
      <c r="I48" s="94"/>
      <c r="J48" s="94"/>
      <c r="K48" s="94"/>
      <c r="L48" s="95"/>
    </row>
  </sheetData>
  <sheetProtection algorithmName="SHA-512" hashValue="IFTOcOWWkths4sJVMhyiLUxN+RFHi/whwMnFP+Cx6wdkk6TnPHqWAqsg1Hk9Vn4Ns7VmzJ9LMJUWBJBX0J0Imw==" saltValue="IjLWvQBUPGLw1OESC/5KaA==" spinCount="100000" sheet="1" selectLockedCells="1"/>
  <mergeCells count="2">
    <mergeCell ref="H33:L33"/>
    <mergeCell ref="B5:F5"/>
  </mergeCells>
  <conditionalFormatting sqref="E28">
    <cfRule type="expression" dxfId="52" priority="8">
      <formula>E25="Household"</formula>
    </cfRule>
  </conditionalFormatting>
  <conditionalFormatting sqref="E30">
    <cfRule type="expression" dxfId="51" priority="4">
      <formula>E25="Household"</formula>
    </cfRule>
  </conditionalFormatting>
  <conditionalFormatting sqref="E32">
    <cfRule type="expression" dxfId="50" priority="3">
      <formula>E25="Household"</formula>
    </cfRule>
  </conditionalFormatting>
  <conditionalFormatting sqref="E35:E36">
    <cfRule type="expression" dxfId="49" priority="2">
      <formula>E25="Household"</formula>
    </cfRule>
  </conditionalFormatting>
  <conditionalFormatting sqref="E37">
    <cfRule type="expression" dxfId="48" priority="1">
      <formula>E25="Household"</formula>
    </cfRule>
    <cfRule type="expression" dxfId="47" priority="18">
      <formula>E26="Household"</formula>
    </cfRule>
  </conditionalFormatting>
  <dataValidations count="3">
    <dataValidation type="list" allowBlank="1" showInputMessage="1" showErrorMessage="1" sqref="E14" xr:uid="{00000000-0002-0000-0100-000000000000}">
      <formula1>$M$14:$M$16</formula1>
    </dataValidation>
    <dataValidation type="list" allowBlank="1" showInputMessage="1" showErrorMessage="1" sqref="E10" xr:uid="{00000000-0002-0000-0100-000001000000}">
      <formula1>$M$6:$M$8</formula1>
    </dataValidation>
    <dataValidation type="list" allowBlank="1" showInputMessage="1" showErrorMessage="1" sqref="E25" xr:uid="{00000000-0002-0000-0100-000002000000}">
      <formula1>$M$26:$M$27</formula1>
    </dataValidation>
  </dataValidation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N71"/>
  <sheetViews>
    <sheetView showGridLines="0" topLeftCell="A19" workbookViewId="0">
      <selection activeCell="E57" sqref="E57"/>
    </sheetView>
  </sheetViews>
  <sheetFormatPr defaultRowHeight="14.5" x14ac:dyDescent="0.35"/>
  <cols>
    <col min="2" max="2" width="19.453125" customWidth="1"/>
    <col min="3" max="3" width="10.81640625" customWidth="1"/>
    <col min="4" max="4" width="50.1796875" customWidth="1"/>
    <col min="5" max="5" width="15" customWidth="1"/>
    <col min="6" max="6" width="20.1796875" customWidth="1"/>
    <col min="13" max="13" width="15.453125" hidden="1" customWidth="1"/>
    <col min="14" max="14" width="0" hidden="1" customWidth="1"/>
  </cols>
  <sheetData>
    <row r="2" spans="2:14" ht="18" customHeight="1" thickBot="1" x14ac:dyDescent="0.4"/>
    <row r="3" spans="2:14" x14ac:dyDescent="0.35">
      <c r="B3" s="27"/>
      <c r="C3" s="28"/>
      <c r="D3" s="28"/>
      <c r="E3" s="28"/>
      <c r="F3" s="29"/>
    </row>
    <row r="4" spans="2:14" ht="17" x14ac:dyDescent="0.35">
      <c r="B4" s="66" t="s">
        <v>9</v>
      </c>
      <c r="F4" s="31"/>
    </row>
    <row r="5" spans="2:14" ht="17" thickBot="1" x14ac:dyDescent="0.5">
      <c r="B5" s="121" t="s">
        <v>10</v>
      </c>
      <c r="C5" s="122"/>
      <c r="D5" s="122"/>
      <c r="E5" s="122"/>
      <c r="F5" s="123"/>
      <c r="M5" s="4" t="s">
        <v>34</v>
      </c>
      <c r="N5" s="1" t="s">
        <v>35</v>
      </c>
    </row>
    <row r="6" spans="2:14" ht="41.25" customHeight="1" x14ac:dyDescent="0.35">
      <c r="B6" s="45" t="s">
        <v>36</v>
      </c>
      <c r="C6" s="46"/>
      <c r="D6" s="47" t="s">
        <v>92</v>
      </c>
      <c r="E6" s="85">
        <v>22.5</v>
      </c>
      <c r="F6" s="48" t="s">
        <v>93</v>
      </c>
      <c r="M6" s="3">
        <v>0.9</v>
      </c>
      <c r="N6" s="3">
        <v>1.28</v>
      </c>
    </row>
    <row r="7" spans="2:14" ht="53.25" customHeight="1" x14ac:dyDescent="0.35">
      <c r="B7" s="30"/>
      <c r="E7" s="34" t="str">
        <f>IF(OR(E6&lt;=0, ISTEXT(E6)), "Value out of range; re-enter value", " ")</f>
        <v xml:space="preserve"> </v>
      </c>
      <c r="F7" s="31"/>
      <c r="I7" s="2"/>
      <c r="M7" s="3">
        <v>0.95</v>
      </c>
      <c r="N7" s="3">
        <v>1.64</v>
      </c>
    </row>
    <row r="8" spans="2:14" ht="41" x14ac:dyDescent="0.4">
      <c r="B8" s="30"/>
      <c r="D8" s="1" t="s">
        <v>94</v>
      </c>
      <c r="E8" s="86">
        <v>23.2</v>
      </c>
      <c r="F8" s="57" t="s">
        <v>95</v>
      </c>
      <c r="M8" s="3">
        <v>0.97499999999999998</v>
      </c>
      <c r="N8" s="3">
        <v>1.96</v>
      </c>
    </row>
    <row r="9" spans="2:14" ht="44.25" customHeight="1" x14ac:dyDescent="0.35">
      <c r="B9" s="30"/>
      <c r="C9" s="2"/>
      <c r="E9" s="34" t="str">
        <f>IF(OR(OR(E8&lt;=0,E6=E8),ISTEXT(E8)), "Value out of range; re-enter value", " ")</f>
        <v xml:space="preserve"> </v>
      </c>
      <c r="F9" s="33"/>
      <c r="M9" s="3"/>
      <c r="N9" s="3"/>
    </row>
    <row r="10" spans="2:14" x14ac:dyDescent="0.35">
      <c r="B10" s="30"/>
      <c r="C10" s="39" t="s">
        <v>96</v>
      </c>
      <c r="D10" t="s">
        <v>97</v>
      </c>
      <c r="E10" s="2">
        <f>ABS(E6-E8)</f>
        <v>0.69999999999999929</v>
      </c>
      <c r="F10" s="33"/>
      <c r="M10" s="3"/>
      <c r="N10" s="3"/>
    </row>
    <row r="11" spans="2:14" x14ac:dyDescent="0.35">
      <c r="B11" s="30"/>
      <c r="C11" s="39"/>
      <c r="E11" s="2"/>
      <c r="F11" s="33"/>
      <c r="M11" s="3"/>
      <c r="N11" s="3"/>
    </row>
    <row r="12" spans="2:14" x14ac:dyDescent="0.35">
      <c r="B12" s="30"/>
      <c r="C12" s="39"/>
      <c r="D12" t="s">
        <v>98</v>
      </c>
      <c r="E12" s="86" t="s">
        <v>99</v>
      </c>
      <c r="F12" s="35" t="s">
        <v>45</v>
      </c>
      <c r="M12" s="3" t="s">
        <v>99</v>
      </c>
      <c r="N12" s="3"/>
    </row>
    <row r="13" spans="2:14" x14ac:dyDescent="0.35">
      <c r="B13" s="30"/>
      <c r="C13" s="39"/>
      <c r="E13" s="2"/>
      <c r="F13" s="33"/>
      <c r="M13" s="3" t="s">
        <v>100</v>
      </c>
      <c r="N13" s="3"/>
    </row>
    <row r="14" spans="2:14" ht="24.75" customHeight="1" x14ac:dyDescent="0.35">
      <c r="B14" s="30"/>
      <c r="D14" s="5" t="s">
        <v>101</v>
      </c>
      <c r="E14" s="88">
        <v>3.6642320000000002</v>
      </c>
      <c r="F14" s="57" t="s">
        <v>93</v>
      </c>
      <c r="M14" s="3"/>
      <c r="N14" s="3"/>
    </row>
    <row r="15" spans="2:14" ht="48" customHeight="1" x14ac:dyDescent="0.35">
      <c r="B15" s="30"/>
      <c r="C15" s="39"/>
      <c r="E15" s="34" t="str">
        <f>IF(E14&lt;=0, "Value out of range; re-enter value", " ")</f>
        <v xml:space="preserve"> </v>
      </c>
      <c r="F15" s="33"/>
      <c r="M15" s="3"/>
      <c r="N15" s="3"/>
    </row>
    <row r="16" spans="2:14" x14ac:dyDescent="0.35">
      <c r="B16" s="30"/>
      <c r="C16" s="39"/>
      <c r="D16" s="5" t="s">
        <v>102</v>
      </c>
      <c r="E16" s="2"/>
      <c r="F16" s="33"/>
      <c r="M16" s="3"/>
      <c r="N16" s="3"/>
    </row>
    <row r="17" spans="2:14" x14ac:dyDescent="0.35">
      <c r="B17" s="30"/>
      <c r="C17" s="39"/>
      <c r="E17" s="2"/>
      <c r="F17" s="33"/>
      <c r="M17" s="3"/>
      <c r="N17" s="3"/>
    </row>
    <row r="18" spans="2:14" ht="28.5" customHeight="1" x14ac:dyDescent="0.35">
      <c r="B18" s="30"/>
      <c r="C18" s="63" t="s">
        <v>103</v>
      </c>
      <c r="D18" s="6" t="s">
        <v>104</v>
      </c>
      <c r="E18" s="86">
        <v>4</v>
      </c>
      <c r="F18" s="57" t="s">
        <v>93</v>
      </c>
      <c r="M18" s="3"/>
      <c r="N18" s="3"/>
    </row>
    <row r="19" spans="2:14" ht="45.75" customHeight="1" x14ac:dyDescent="0.35">
      <c r="B19" s="30"/>
      <c r="C19" s="39"/>
      <c r="E19" s="34" t="str">
        <f>IF(OR(E18&lt;=0,ISTEXT(E18)), "Value out of range; re-enter value", " ")</f>
        <v xml:space="preserve"> </v>
      </c>
      <c r="F19" s="33"/>
      <c r="M19" s="3"/>
      <c r="N19" s="3"/>
    </row>
    <row r="20" spans="2:14" ht="26.5" x14ac:dyDescent="0.35">
      <c r="B20" s="30"/>
      <c r="C20" s="63" t="s">
        <v>105</v>
      </c>
      <c r="D20" s="6" t="s">
        <v>106</v>
      </c>
      <c r="E20" s="86">
        <v>0</v>
      </c>
      <c r="F20" s="57" t="s">
        <v>107</v>
      </c>
    </row>
    <row r="21" spans="2:14" ht="48" customHeight="1" x14ac:dyDescent="0.35">
      <c r="B21" s="30"/>
      <c r="C21" s="2"/>
      <c r="E21" s="34" t="str">
        <f>IF(OR(OR(E20&lt;0,E18&lt;=E20), ISTEXT(E20)), "Value out of range; re-enter value", " ")</f>
        <v xml:space="preserve"> </v>
      </c>
      <c r="F21" s="31"/>
    </row>
    <row r="22" spans="2:14" x14ac:dyDescent="0.35">
      <c r="B22" s="30"/>
      <c r="D22" s="8" t="s">
        <v>108</v>
      </c>
      <c r="E22" s="17">
        <f>IF(E12="YES", E14, (E18-E20)/6)</f>
        <v>3.6642320000000002</v>
      </c>
      <c r="F22" s="31"/>
    </row>
    <row r="23" spans="2:14" x14ac:dyDescent="0.35">
      <c r="B23" s="30"/>
      <c r="C23" s="2"/>
      <c r="E23" s="2"/>
      <c r="F23" s="31"/>
    </row>
    <row r="24" spans="2:14" x14ac:dyDescent="0.35">
      <c r="B24" s="58"/>
      <c r="C24" s="64" t="s">
        <v>43</v>
      </c>
      <c r="D24" s="5" t="s">
        <v>44</v>
      </c>
      <c r="E24" s="86">
        <v>0.95</v>
      </c>
      <c r="F24" s="35" t="s">
        <v>45</v>
      </c>
    </row>
    <row r="25" spans="2:14" ht="16.5" x14ac:dyDescent="0.45">
      <c r="B25" s="30"/>
      <c r="E25" s="2"/>
      <c r="F25" s="31"/>
      <c r="M25" s="4" t="s">
        <v>46</v>
      </c>
      <c r="N25" s="4" t="s">
        <v>47</v>
      </c>
    </row>
    <row r="26" spans="2:14" ht="16.5" x14ac:dyDescent="0.45">
      <c r="B26" s="30"/>
      <c r="C26" s="2" t="s">
        <v>48</v>
      </c>
      <c r="D26" s="1" t="s">
        <v>49</v>
      </c>
      <c r="E26" s="17">
        <f>NORMSINV(E24)</f>
        <v>1.6448536269514715</v>
      </c>
      <c r="F26" s="31"/>
      <c r="M26" s="4"/>
      <c r="N26" s="4"/>
    </row>
    <row r="27" spans="2:14" x14ac:dyDescent="0.35">
      <c r="B27" s="30"/>
      <c r="C27" s="2"/>
      <c r="E27" s="2"/>
      <c r="F27" s="31"/>
      <c r="M27" s="4"/>
      <c r="N27" s="4"/>
    </row>
    <row r="28" spans="2:14" x14ac:dyDescent="0.35">
      <c r="B28" s="30"/>
      <c r="C28" s="64" t="s">
        <v>50</v>
      </c>
      <c r="D28" s="5" t="s">
        <v>51</v>
      </c>
      <c r="E28" s="86">
        <v>0.8</v>
      </c>
      <c r="F28" s="35" t="s">
        <v>45</v>
      </c>
      <c r="M28" s="3">
        <v>0.7</v>
      </c>
      <c r="N28" s="3">
        <v>0.53</v>
      </c>
    </row>
    <row r="29" spans="2:14" x14ac:dyDescent="0.35">
      <c r="B29" s="30"/>
      <c r="C29" s="2"/>
      <c r="E29" s="2"/>
      <c r="F29" s="31"/>
      <c r="M29" s="3">
        <v>0.8</v>
      </c>
      <c r="N29" s="3">
        <v>0.84</v>
      </c>
    </row>
    <row r="30" spans="2:14" ht="16.5" x14ac:dyDescent="0.45">
      <c r="B30" s="30"/>
      <c r="C30" s="2" t="s">
        <v>52</v>
      </c>
      <c r="D30" s="1" t="s">
        <v>53</v>
      </c>
      <c r="E30" s="17">
        <f>NORMSINV(E28)</f>
        <v>0.84162123357291474</v>
      </c>
      <c r="F30" s="31"/>
      <c r="M30" s="3">
        <v>0.9</v>
      </c>
      <c r="N30" s="3">
        <v>1.28</v>
      </c>
    </row>
    <row r="31" spans="2:14" x14ac:dyDescent="0.35">
      <c r="B31" s="30"/>
      <c r="C31" s="2"/>
      <c r="E31" s="2"/>
      <c r="F31" s="31"/>
    </row>
    <row r="32" spans="2:14" ht="45" customHeight="1" x14ac:dyDescent="0.45">
      <c r="B32" s="30"/>
      <c r="C32" s="64" t="s">
        <v>54</v>
      </c>
      <c r="D32" s="1" t="s">
        <v>55</v>
      </c>
      <c r="E32" s="86">
        <v>3.3</v>
      </c>
      <c r="F32" s="33" t="s">
        <v>56</v>
      </c>
    </row>
    <row r="33" spans="2:14" ht="45" customHeight="1" x14ac:dyDescent="0.35">
      <c r="B33" s="30"/>
      <c r="C33" s="2"/>
      <c r="E33" s="34" t="str">
        <f>IF(OR(E32&lt;=0,E32&gt;10), "Value out of range; re-enter value", " ")</f>
        <v xml:space="preserve"> </v>
      </c>
      <c r="F33" s="31"/>
    </row>
    <row r="34" spans="2:14" ht="16.5" x14ac:dyDescent="0.45">
      <c r="B34" s="30"/>
      <c r="C34" s="26" t="s">
        <v>58</v>
      </c>
      <c r="D34" s="36" t="s">
        <v>59</v>
      </c>
      <c r="E34" s="26">
        <f>ROUNDUP((E32*N34*N35)/(E10^2),0)</f>
        <v>1119</v>
      </c>
      <c r="F34" s="31"/>
      <c r="M34" t="s">
        <v>65</v>
      </c>
      <c r="N34">
        <f>(E26+E30)^2</f>
        <v>6.1825572320197661</v>
      </c>
    </row>
    <row r="35" spans="2:14" x14ac:dyDescent="0.35">
      <c r="B35" s="30"/>
      <c r="C35" s="2"/>
      <c r="F35" s="31"/>
      <c r="M35" t="s">
        <v>66</v>
      </c>
      <c r="N35">
        <f>2*(E22)^2</f>
        <v>26.853192299648001</v>
      </c>
    </row>
    <row r="36" spans="2:14" ht="15" thickBot="1" x14ac:dyDescent="0.4">
      <c r="B36" s="42"/>
      <c r="C36" s="49"/>
      <c r="D36" s="43"/>
      <c r="E36" s="43"/>
      <c r="F36" s="44"/>
    </row>
    <row r="37" spans="2:14" ht="29" x14ac:dyDescent="0.35">
      <c r="B37" s="32" t="s">
        <v>63</v>
      </c>
      <c r="C37" s="2"/>
      <c r="D37" s="13" t="s">
        <v>64</v>
      </c>
      <c r="E37" s="14"/>
      <c r="F37" s="37"/>
    </row>
    <row r="38" spans="2:14" x14ac:dyDescent="0.35">
      <c r="B38" s="30"/>
      <c r="C38" s="2"/>
      <c r="F38" s="31"/>
    </row>
    <row r="39" spans="2:14" x14ac:dyDescent="0.35">
      <c r="B39" s="30"/>
      <c r="C39" s="2"/>
      <c r="D39" t="s">
        <v>67</v>
      </c>
      <c r="E39" s="86" t="s">
        <v>68</v>
      </c>
      <c r="F39" s="35" t="s">
        <v>45</v>
      </c>
      <c r="M39" t="s">
        <v>68</v>
      </c>
    </row>
    <row r="40" spans="2:14" ht="59.25" customHeight="1" x14ac:dyDescent="0.35">
      <c r="B40" s="30"/>
      <c r="C40" s="2"/>
      <c r="E40" s="53" t="str">
        <f>IF(E39="Household", "If household level indicator, skip to adjustment 2"," ")</f>
        <v xml:space="preserve"> </v>
      </c>
      <c r="F40" s="31"/>
      <c r="M40" t="s">
        <v>70</v>
      </c>
    </row>
    <row r="41" spans="2:14" x14ac:dyDescent="0.35">
      <c r="B41" s="30"/>
      <c r="C41" s="2"/>
      <c r="D41" t="s">
        <v>69</v>
      </c>
      <c r="F41" s="31"/>
    </row>
    <row r="42" spans="2:14" ht="39.5" x14ac:dyDescent="0.35">
      <c r="B42" s="30"/>
      <c r="C42" s="2"/>
      <c r="D42" s="15" t="s">
        <v>71</v>
      </c>
      <c r="E42" s="86">
        <v>0.21159</v>
      </c>
      <c r="F42" s="33" t="s">
        <v>39</v>
      </c>
    </row>
    <row r="43" spans="2:14" ht="45.75" customHeight="1" x14ac:dyDescent="0.35">
      <c r="B43" s="30"/>
      <c r="C43" s="2"/>
      <c r="D43" s="15"/>
      <c r="E43" s="34" t="str">
        <f>IF(OR(E42&lt;=0,E42&gt;1), "Value out of range; re-enter value", " ")</f>
        <v xml:space="preserve"> </v>
      </c>
      <c r="F43" s="33"/>
    </row>
    <row r="44" spans="2:14" ht="39.5" x14ac:dyDescent="0.35">
      <c r="B44" s="30"/>
      <c r="C44" s="2"/>
      <c r="D44" s="15" t="s">
        <v>72</v>
      </c>
      <c r="E44" s="86">
        <v>5.9</v>
      </c>
      <c r="F44" s="33" t="s">
        <v>73</v>
      </c>
    </row>
    <row r="45" spans="2:14" ht="48.75" customHeight="1" thickBot="1" x14ac:dyDescent="0.4">
      <c r="B45" s="30"/>
      <c r="C45" s="2"/>
      <c r="D45" s="12"/>
      <c r="E45" s="34" t="str">
        <f>IF(OR(E44&lt;1,E44&gt;10), "Value out of range; re-enter value", " ")</f>
        <v xml:space="preserve"> </v>
      </c>
      <c r="F45" s="31"/>
    </row>
    <row r="46" spans="2:14" ht="35.25" customHeight="1" thickBot="1" x14ac:dyDescent="0.4">
      <c r="B46" s="30"/>
      <c r="C46" s="107" t="s">
        <v>74</v>
      </c>
      <c r="D46" s="15" t="s">
        <v>75</v>
      </c>
      <c r="E46" s="17">
        <f>E42*E44</f>
        <v>1.2483810000000002</v>
      </c>
      <c r="F46" s="35"/>
      <c r="H46" s="118" t="s">
        <v>76</v>
      </c>
      <c r="I46" s="119"/>
      <c r="J46" s="119"/>
      <c r="K46" s="119"/>
      <c r="L46" s="120"/>
    </row>
    <row r="47" spans="2:14" ht="35.25" customHeight="1" x14ac:dyDescent="0.35">
      <c r="B47" s="30"/>
      <c r="C47" s="39"/>
      <c r="D47" s="15"/>
      <c r="E47" s="17"/>
      <c r="F47" s="35"/>
      <c r="H47" s="112"/>
      <c r="I47" s="113"/>
      <c r="J47" s="113"/>
      <c r="K47" s="113"/>
      <c r="L47" s="114"/>
    </row>
    <row r="48" spans="2:14" ht="30" hidden="1" customHeight="1" x14ac:dyDescent="0.35">
      <c r="B48" s="30"/>
      <c r="C48" s="99" t="s">
        <v>77</v>
      </c>
      <c r="E48" s="2">
        <f>(1+$E$46)*EXP((-1)*$E$46)</f>
        <v>0.64521570073785128</v>
      </c>
      <c r="F48" s="31"/>
      <c r="H48" s="109"/>
      <c r="I48" s="110"/>
      <c r="J48" s="110"/>
      <c r="K48" s="110"/>
      <c r="L48" s="111"/>
    </row>
    <row r="49" spans="2:12" ht="30" customHeight="1" x14ac:dyDescent="0.35">
      <c r="B49" s="30"/>
      <c r="C49" s="15" t="s">
        <v>78</v>
      </c>
      <c r="D49" s="38" t="s">
        <v>79</v>
      </c>
      <c r="E49" s="100">
        <f>(0.5*($E$48+1))/(1-(EXP((-1)*$E$46)))</f>
        <v>1.1536775790191927</v>
      </c>
      <c r="F49" s="31"/>
      <c r="H49" s="90"/>
      <c r="I49" s="91"/>
      <c r="J49" s="91"/>
      <c r="K49" s="91"/>
      <c r="L49" s="92"/>
    </row>
    <row r="50" spans="2:12" ht="30" customHeight="1" x14ac:dyDescent="0.35">
      <c r="B50" s="30"/>
      <c r="C50" s="15"/>
      <c r="E50" s="18"/>
      <c r="F50" s="31"/>
      <c r="H50" s="90"/>
      <c r="I50" s="91"/>
      <c r="J50" s="91"/>
      <c r="K50" s="91"/>
      <c r="L50" s="92"/>
    </row>
    <row r="51" spans="2:12" ht="29" x14ac:dyDescent="0.35">
      <c r="B51" s="30"/>
      <c r="C51" s="15" t="s">
        <v>80</v>
      </c>
      <c r="D51" s="38" t="s">
        <v>81</v>
      </c>
      <c r="E51" s="18">
        <f>ROUNDUP($E$34*$E$49,0)</f>
        <v>1291</v>
      </c>
      <c r="F51" s="31"/>
      <c r="H51" s="90"/>
      <c r="I51" s="91"/>
      <c r="J51" s="91"/>
      <c r="K51" s="91"/>
      <c r="L51" s="92"/>
    </row>
    <row r="52" spans="2:12" ht="45" customHeight="1" x14ac:dyDescent="0.35">
      <c r="B52" s="30"/>
      <c r="C52" s="2"/>
      <c r="E52" s="2"/>
      <c r="F52" s="31"/>
      <c r="H52" s="90"/>
      <c r="I52" s="91"/>
      <c r="J52" s="91"/>
      <c r="K52" s="91"/>
      <c r="L52" s="92"/>
    </row>
    <row r="53" spans="2:12" ht="33" x14ac:dyDescent="0.4">
      <c r="B53" s="30"/>
      <c r="C53" s="25" t="s">
        <v>82</v>
      </c>
      <c r="D53" s="21" t="s">
        <v>83</v>
      </c>
      <c r="E53" s="20">
        <f>IF(E39="Household",E34,E51)</f>
        <v>1291</v>
      </c>
      <c r="F53" s="31"/>
      <c r="H53" s="90"/>
      <c r="I53" s="91"/>
      <c r="J53" s="91"/>
      <c r="K53" s="91"/>
      <c r="L53" s="92"/>
    </row>
    <row r="54" spans="2:12" ht="15" thickBot="1" x14ac:dyDescent="0.4">
      <c r="B54" s="30"/>
      <c r="C54" s="2"/>
      <c r="F54" s="31"/>
      <c r="H54" s="90"/>
      <c r="I54" s="91"/>
      <c r="J54" s="91"/>
      <c r="K54" s="91"/>
      <c r="L54" s="92"/>
    </row>
    <row r="55" spans="2:12" ht="30" x14ac:dyDescent="0.45">
      <c r="B55" s="45" t="s">
        <v>84</v>
      </c>
      <c r="C55" s="46"/>
      <c r="D55" s="50" t="s">
        <v>85</v>
      </c>
      <c r="E55" s="59"/>
      <c r="F55" s="60"/>
      <c r="H55" s="90"/>
      <c r="I55" s="91"/>
      <c r="J55" s="91"/>
      <c r="K55" s="91"/>
      <c r="L55" s="92"/>
    </row>
    <row r="56" spans="2:12" x14ac:dyDescent="0.35">
      <c r="B56" s="30"/>
      <c r="F56" s="31"/>
      <c r="H56" s="90"/>
      <c r="I56" s="91"/>
      <c r="J56" s="91"/>
      <c r="K56" s="91"/>
      <c r="L56" s="92"/>
    </row>
    <row r="57" spans="2:12" ht="40.5" customHeight="1" x14ac:dyDescent="0.35">
      <c r="B57" s="30"/>
      <c r="D57" s="23" t="s">
        <v>86</v>
      </c>
      <c r="E57" s="87">
        <v>1.3</v>
      </c>
      <c r="F57" s="33" t="s">
        <v>87</v>
      </c>
      <c r="H57" s="90"/>
      <c r="I57" s="91"/>
      <c r="J57" s="91"/>
      <c r="K57" s="91"/>
      <c r="L57" s="92"/>
    </row>
    <row r="58" spans="2:12" ht="30" customHeight="1" x14ac:dyDescent="0.35">
      <c r="B58" s="30"/>
      <c r="D58" s="23"/>
      <c r="E58" s="108"/>
      <c r="F58" s="33"/>
      <c r="H58" s="90"/>
      <c r="I58" s="91"/>
      <c r="J58" s="91"/>
      <c r="K58" s="91"/>
      <c r="L58" s="92"/>
    </row>
    <row r="59" spans="2:12" ht="42" customHeight="1" x14ac:dyDescent="0.35">
      <c r="B59" s="30"/>
      <c r="C59" s="15" t="s">
        <v>88</v>
      </c>
      <c r="D59" s="38" t="s">
        <v>89</v>
      </c>
      <c r="E59" s="104">
        <f>(1/(1-($E$57/100)))</f>
        <v>1.0131712259371835</v>
      </c>
      <c r="F59" s="33"/>
      <c r="H59" s="90"/>
      <c r="I59" s="91"/>
      <c r="J59" s="91"/>
      <c r="K59" s="91"/>
      <c r="L59" s="92"/>
    </row>
    <row r="60" spans="2:12" ht="45" customHeight="1" x14ac:dyDescent="0.35">
      <c r="B60" s="30"/>
      <c r="D60" s="23"/>
      <c r="E60" s="34" t="str">
        <f>IF(OR(E57&lt;0,E57&gt;=100), "Value out of range; re-enter value", " ")</f>
        <v xml:space="preserve"> </v>
      </c>
      <c r="F60" s="41"/>
      <c r="H60" s="90"/>
      <c r="I60" s="91"/>
      <c r="J60" s="91"/>
      <c r="K60" s="91"/>
      <c r="L60" s="92"/>
    </row>
    <row r="61" spans="2:12" ht="16.5" x14ac:dyDescent="0.45">
      <c r="B61" s="30"/>
      <c r="C61" s="36" t="s">
        <v>90</v>
      </c>
      <c r="D61" s="19" t="s">
        <v>91</v>
      </c>
      <c r="E61" s="24">
        <f>ROUNDUP((($E$53)*($E$59)),0)</f>
        <v>1309</v>
      </c>
      <c r="F61" s="31"/>
      <c r="H61" s="90"/>
      <c r="I61" s="91"/>
      <c r="J61" s="91"/>
      <c r="K61" s="91"/>
      <c r="L61" s="92"/>
    </row>
    <row r="62" spans="2:12" ht="15" thickBot="1" x14ac:dyDescent="0.4">
      <c r="B62" s="42"/>
      <c r="C62" s="43"/>
      <c r="D62" s="43"/>
      <c r="E62" s="43"/>
      <c r="F62" s="44"/>
      <c r="H62" s="93"/>
      <c r="I62" s="94"/>
      <c r="J62" s="94"/>
      <c r="K62" s="94"/>
      <c r="L62" s="95"/>
    </row>
    <row r="71" spans="2:6" ht="86.25" customHeight="1" x14ac:dyDescent="0.35">
      <c r="B71" s="124"/>
      <c r="C71" s="125"/>
      <c r="D71" s="125"/>
      <c r="E71" s="125"/>
      <c r="F71" s="125"/>
    </row>
  </sheetData>
  <sheetProtection algorithmName="SHA-512" hashValue="Rsu96BydmadXnOaesVteZCFLiH6Pf1gxQhih0Ud9aC0gYxmcrbKxF7wSu9HQZeYa9Om2mjL72d4ZsNADQN8veg==" saltValue="JDrvx9UvA5YR+qv10CWmFA==" spinCount="100000" sheet="1" selectLockedCells="1"/>
  <mergeCells count="3">
    <mergeCell ref="H46:L46"/>
    <mergeCell ref="B5:F5"/>
    <mergeCell ref="B71:F71"/>
  </mergeCells>
  <conditionalFormatting sqref="E14">
    <cfRule type="expression" dxfId="46" priority="16">
      <formula>E12="NO"</formula>
    </cfRule>
  </conditionalFormatting>
  <conditionalFormatting sqref="E18">
    <cfRule type="expression" dxfId="45" priority="15">
      <formula>E12="YES"</formula>
    </cfRule>
  </conditionalFormatting>
  <conditionalFormatting sqref="E20">
    <cfRule type="expression" dxfId="44" priority="14">
      <formula>E12="YES"</formula>
    </cfRule>
  </conditionalFormatting>
  <conditionalFormatting sqref="E42">
    <cfRule type="expression" dxfId="43" priority="9">
      <formula>E39="Household"</formula>
    </cfRule>
  </conditionalFormatting>
  <conditionalFormatting sqref="E44">
    <cfRule type="expression" dxfId="42" priority="8">
      <formula>E39="Household"</formula>
    </cfRule>
  </conditionalFormatting>
  <conditionalFormatting sqref="E46:E47">
    <cfRule type="expression" dxfId="41" priority="7">
      <formula>E39="Household"</formula>
    </cfRule>
  </conditionalFormatting>
  <conditionalFormatting sqref="E49:E50">
    <cfRule type="expression" dxfId="40" priority="1">
      <formula>E39="Household"</formula>
    </cfRule>
  </conditionalFormatting>
  <conditionalFormatting sqref="E51">
    <cfRule type="expression" dxfId="39" priority="2">
      <formula>E39="Household"</formula>
    </cfRule>
    <cfRule type="expression" dxfId="38" priority="3">
      <formula>E40="Household"</formula>
    </cfRule>
  </conditionalFormatting>
  <conditionalFormatting sqref="F8">
    <cfRule type="expression" dxfId="37" priority="10">
      <formula>E6="NO"</formula>
    </cfRule>
  </conditionalFormatting>
  <conditionalFormatting sqref="F14">
    <cfRule type="expression" dxfId="36" priority="13">
      <formula>E12="NO"</formula>
    </cfRule>
  </conditionalFormatting>
  <conditionalFormatting sqref="F18">
    <cfRule type="expression" dxfId="35" priority="12">
      <formula>E12="YES"</formula>
    </cfRule>
  </conditionalFormatting>
  <conditionalFormatting sqref="F20">
    <cfRule type="expression" dxfId="34" priority="11">
      <formula>E12="YES"</formula>
    </cfRule>
  </conditionalFormatting>
  <dataValidations count="4">
    <dataValidation type="list" allowBlank="1" showInputMessage="1" showErrorMessage="1" sqref="E24" xr:uid="{00000000-0002-0000-0200-000000000000}">
      <formula1>$M$6:$M$8</formula1>
    </dataValidation>
    <dataValidation type="list" allowBlank="1" showInputMessage="1" showErrorMessage="1" sqref="E28" xr:uid="{00000000-0002-0000-0200-000001000000}">
      <formula1>$M$28:$M$30</formula1>
    </dataValidation>
    <dataValidation type="list" allowBlank="1" showInputMessage="1" showErrorMessage="1" sqref="E12" xr:uid="{00000000-0002-0000-0200-000002000000}">
      <formula1>$M$12:$M$13</formula1>
    </dataValidation>
    <dataValidation type="list" allowBlank="1" showInputMessage="1" showErrorMessage="1" sqref="E39" xr:uid="{00000000-0002-0000-0200-000003000000}">
      <formula1>$M$39:$M$40</formula1>
    </dataValidation>
  </dataValidations>
  <pageMargins left="0.7" right="0.7" top="0.75" bottom="0.75" header="0.3" footer="0.3"/>
  <pageSetup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O55"/>
  <sheetViews>
    <sheetView showGridLines="0" topLeftCell="A23" workbookViewId="0">
      <selection activeCell="E6" sqref="E6"/>
    </sheetView>
  </sheetViews>
  <sheetFormatPr defaultRowHeight="14.5" x14ac:dyDescent="0.35"/>
  <cols>
    <col min="2" max="2" width="19.453125" customWidth="1"/>
    <col min="3" max="3" width="10.81640625" customWidth="1"/>
    <col min="4" max="4" width="50.1796875" customWidth="1"/>
    <col min="5" max="5" width="14.453125" customWidth="1"/>
    <col min="6" max="6" width="20.1796875" customWidth="1"/>
    <col min="13" max="13" width="15.453125" hidden="1" customWidth="1"/>
    <col min="14" max="15" width="9.1796875" hidden="1" customWidth="1"/>
  </cols>
  <sheetData>
    <row r="2" spans="2:15" ht="15" thickBot="1" x14ac:dyDescent="0.4"/>
    <row r="3" spans="2:15" x14ac:dyDescent="0.35">
      <c r="B3" s="27"/>
      <c r="C3" s="28"/>
      <c r="D3" s="28"/>
      <c r="E3" s="28"/>
      <c r="F3" s="29"/>
    </row>
    <row r="4" spans="2:15" ht="17" x14ac:dyDescent="0.35">
      <c r="B4" s="66" t="s">
        <v>12</v>
      </c>
      <c r="F4" s="31"/>
    </row>
    <row r="5" spans="2:15" ht="17" thickBot="1" x14ac:dyDescent="0.5">
      <c r="B5" s="121" t="s">
        <v>13</v>
      </c>
      <c r="C5" s="122"/>
      <c r="D5" s="122"/>
      <c r="E5" s="122"/>
      <c r="F5" s="123"/>
      <c r="M5" s="7" t="s">
        <v>109</v>
      </c>
      <c r="N5" s="4" t="s">
        <v>110</v>
      </c>
      <c r="O5" s="4" t="s">
        <v>111</v>
      </c>
    </row>
    <row r="6" spans="2:15" ht="48.75" customHeight="1" x14ac:dyDescent="0.45">
      <c r="B6" s="45" t="s">
        <v>36</v>
      </c>
      <c r="C6" s="46" t="s">
        <v>112</v>
      </c>
      <c r="D6" s="47" t="s">
        <v>113</v>
      </c>
      <c r="E6" s="85">
        <v>0.22500000000000001</v>
      </c>
      <c r="F6" s="48" t="s">
        <v>39</v>
      </c>
      <c r="M6" s="2">
        <v>0.1</v>
      </c>
      <c r="N6" s="3">
        <f>1-(M6/2)</f>
        <v>0.95</v>
      </c>
      <c r="O6" s="2">
        <v>1.64</v>
      </c>
    </row>
    <row r="7" spans="2:15" ht="45.75" customHeight="1" x14ac:dyDescent="0.35">
      <c r="B7" s="30"/>
      <c r="C7" s="2"/>
      <c r="E7" s="34" t="str">
        <f>IF(OR(E6&lt;=0,E6&gt;1), "Value out of range; re-enter value", " ")</f>
        <v xml:space="preserve"> </v>
      </c>
      <c r="F7" s="31"/>
      <c r="M7" s="2">
        <v>0.05</v>
      </c>
      <c r="N7" s="3">
        <f>1-(M7/2)</f>
        <v>0.97499999999999998</v>
      </c>
      <c r="O7" s="3">
        <v>1.96</v>
      </c>
    </row>
    <row r="8" spans="2:15" x14ac:dyDescent="0.35">
      <c r="B8" s="30"/>
      <c r="C8" s="65" t="s">
        <v>109</v>
      </c>
      <c r="D8" s="5" t="s">
        <v>114</v>
      </c>
      <c r="E8" s="86">
        <v>0.05</v>
      </c>
      <c r="F8" s="35" t="s">
        <v>45</v>
      </c>
      <c r="M8" s="3"/>
      <c r="N8" s="3"/>
    </row>
    <row r="9" spans="2:15" x14ac:dyDescent="0.35">
      <c r="B9" s="30"/>
      <c r="E9" s="2"/>
      <c r="F9" s="33"/>
      <c r="M9" s="3"/>
      <c r="N9" s="3"/>
    </row>
    <row r="10" spans="2:15" x14ac:dyDescent="0.35">
      <c r="B10" s="30"/>
      <c r="C10" s="64" t="s">
        <v>115</v>
      </c>
      <c r="D10" s="5" t="s">
        <v>116</v>
      </c>
      <c r="E10" s="2">
        <f>1-(E8/2)</f>
        <v>0.97499999999999998</v>
      </c>
      <c r="F10" s="31"/>
      <c r="M10" s="4" t="s">
        <v>117</v>
      </c>
      <c r="N10" s="4"/>
    </row>
    <row r="11" spans="2:15" x14ac:dyDescent="0.35">
      <c r="B11" s="30"/>
      <c r="E11" s="2"/>
      <c r="F11" s="31"/>
      <c r="M11" s="4"/>
      <c r="N11" s="4"/>
    </row>
    <row r="12" spans="2:15" ht="16.5" x14ac:dyDescent="0.45">
      <c r="B12" s="30"/>
      <c r="C12" s="2" t="s">
        <v>118</v>
      </c>
      <c r="D12" s="1" t="s">
        <v>119</v>
      </c>
      <c r="E12" s="17">
        <f>NORMSINV(E10)</f>
        <v>1.9599639845400536</v>
      </c>
      <c r="F12" s="31"/>
      <c r="M12" s="2">
        <v>0.05</v>
      </c>
      <c r="N12" s="4"/>
    </row>
    <row r="13" spans="2:15" x14ac:dyDescent="0.35">
      <c r="B13" s="30"/>
      <c r="C13" s="2"/>
      <c r="E13" s="2"/>
      <c r="F13" s="31"/>
      <c r="M13" s="2">
        <v>0.06</v>
      </c>
      <c r="N13" s="4"/>
    </row>
    <row r="14" spans="2:15" x14ac:dyDescent="0.35">
      <c r="B14" s="30"/>
      <c r="C14" s="64" t="s">
        <v>117</v>
      </c>
      <c r="D14" s="1" t="s">
        <v>120</v>
      </c>
      <c r="E14" s="86">
        <v>0.05</v>
      </c>
      <c r="F14" s="35" t="s">
        <v>45</v>
      </c>
      <c r="M14" s="2">
        <v>7.0000000000000007E-2</v>
      </c>
      <c r="N14" s="4"/>
    </row>
    <row r="15" spans="2:15" x14ac:dyDescent="0.35">
      <c r="B15" s="30"/>
      <c r="C15" s="2"/>
      <c r="E15" s="2"/>
      <c r="F15" s="31"/>
      <c r="M15" s="2">
        <v>0.08</v>
      </c>
      <c r="N15" s="4"/>
    </row>
    <row r="16" spans="2:15" ht="45" customHeight="1" x14ac:dyDescent="0.45">
      <c r="B16" s="30"/>
      <c r="C16" s="64" t="s">
        <v>54</v>
      </c>
      <c r="D16" s="1" t="s">
        <v>55</v>
      </c>
      <c r="E16" s="86">
        <v>1.5</v>
      </c>
      <c r="F16" s="33" t="s">
        <v>56</v>
      </c>
      <c r="M16" s="2">
        <v>0.09</v>
      </c>
    </row>
    <row r="17" spans="2:14" ht="45.75" customHeight="1" x14ac:dyDescent="0.35">
      <c r="B17" s="30"/>
      <c r="C17" s="2"/>
      <c r="E17" s="34" t="str">
        <f>IF(OR(E16&lt;=0,E16&gt;10), "Value out of range; re-enter value", " ")</f>
        <v xml:space="preserve"> </v>
      </c>
      <c r="F17" s="31"/>
      <c r="M17" s="2">
        <v>0.1</v>
      </c>
    </row>
    <row r="18" spans="2:14" ht="16.5" x14ac:dyDescent="0.45">
      <c r="B18" s="30"/>
      <c r="C18" s="26" t="s">
        <v>58</v>
      </c>
      <c r="D18" s="36" t="s">
        <v>59</v>
      </c>
      <c r="E18" s="26">
        <f>ROUNDUP(N19/N20,0)</f>
        <v>402</v>
      </c>
      <c r="F18" s="31"/>
    </row>
    <row r="19" spans="2:14" x14ac:dyDescent="0.35">
      <c r="B19" s="30"/>
      <c r="C19" s="2"/>
      <c r="F19" s="31"/>
      <c r="M19" s="2" t="s">
        <v>121</v>
      </c>
      <c r="N19">
        <f>(E12^2)*E16*E6*(1-E6)</f>
        <v>1.0047815727878069</v>
      </c>
    </row>
    <row r="20" spans="2:14" ht="15" thickBot="1" x14ac:dyDescent="0.4">
      <c r="B20" s="42"/>
      <c r="C20" s="49"/>
      <c r="D20" s="43"/>
      <c r="E20" s="43"/>
      <c r="F20" s="44"/>
      <c r="M20" s="2" t="s">
        <v>122</v>
      </c>
      <c r="N20">
        <f>E14^2</f>
        <v>2.5000000000000005E-3</v>
      </c>
    </row>
    <row r="21" spans="2:14" ht="29" x14ac:dyDescent="0.35">
      <c r="B21" s="32" t="s">
        <v>63</v>
      </c>
      <c r="C21" s="2"/>
      <c r="D21" s="13" t="s">
        <v>64</v>
      </c>
      <c r="E21" s="14"/>
      <c r="F21" s="37"/>
    </row>
    <row r="22" spans="2:14" x14ac:dyDescent="0.35">
      <c r="B22" s="30"/>
      <c r="C22" s="2"/>
      <c r="F22" s="31"/>
      <c r="M22" t="s">
        <v>68</v>
      </c>
    </row>
    <row r="23" spans="2:14" x14ac:dyDescent="0.35">
      <c r="B23" s="30"/>
      <c r="C23" s="2"/>
      <c r="D23" t="s">
        <v>67</v>
      </c>
      <c r="E23" s="86" t="s">
        <v>68</v>
      </c>
      <c r="F23" s="35" t="s">
        <v>45</v>
      </c>
      <c r="M23" t="s">
        <v>70</v>
      </c>
    </row>
    <row r="24" spans="2:14" ht="61.5" customHeight="1" x14ac:dyDescent="0.35">
      <c r="B24" s="30"/>
      <c r="C24" s="2"/>
      <c r="E24" s="53" t="str">
        <f>IF(E23="Household", "If household level indicator, skip to adjustment 2"," ")</f>
        <v xml:space="preserve"> </v>
      </c>
      <c r="F24" s="31"/>
    </row>
    <row r="25" spans="2:14" x14ac:dyDescent="0.35">
      <c r="B25" s="30"/>
      <c r="C25" s="2"/>
      <c r="D25" t="s">
        <v>69</v>
      </c>
      <c r="F25" s="31"/>
    </row>
    <row r="26" spans="2:14" ht="39.5" x14ac:dyDescent="0.35">
      <c r="B26" s="30"/>
      <c r="C26" s="2"/>
      <c r="D26" s="15" t="s">
        <v>71</v>
      </c>
      <c r="E26" s="86">
        <v>0.21159</v>
      </c>
      <c r="F26" s="33" t="s">
        <v>39</v>
      </c>
    </row>
    <row r="27" spans="2:14" ht="46.5" customHeight="1" x14ac:dyDescent="0.35">
      <c r="B27" s="30"/>
      <c r="C27" s="2"/>
      <c r="D27" s="15"/>
      <c r="E27" s="34" t="str">
        <f>IF(OR(E26&lt;=0,E26&gt;1), "Value out of range; re-enter value", " ")</f>
        <v xml:space="preserve"> </v>
      </c>
      <c r="F27" s="33"/>
    </row>
    <row r="28" spans="2:14" ht="39.5" x14ac:dyDescent="0.35">
      <c r="B28" s="30"/>
      <c r="C28" s="2"/>
      <c r="D28" s="15" t="s">
        <v>72</v>
      </c>
      <c r="E28" s="86">
        <v>5.9</v>
      </c>
      <c r="F28" s="33" t="s">
        <v>73</v>
      </c>
    </row>
    <row r="29" spans="2:14" ht="43.5" customHeight="1" x14ac:dyDescent="0.35">
      <c r="B29" s="30"/>
      <c r="C29" s="2"/>
      <c r="D29" s="12"/>
      <c r="E29" s="34" t="str">
        <f>IF(OR(E28&lt;1,E28&gt;10), "Value out of range; re-enter value", " ")</f>
        <v xml:space="preserve"> </v>
      </c>
      <c r="F29" s="31"/>
    </row>
    <row r="30" spans="2:14" ht="15" thickBot="1" x14ac:dyDescent="0.4">
      <c r="B30" s="30"/>
      <c r="C30" s="39" t="s">
        <v>74</v>
      </c>
      <c r="D30" s="15" t="s">
        <v>75</v>
      </c>
      <c r="E30" s="17">
        <f>E26*E28</f>
        <v>1.2483810000000002</v>
      </c>
      <c r="F30" s="35"/>
    </row>
    <row r="31" spans="2:14" ht="28.5" customHeight="1" thickBot="1" x14ac:dyDescent="0.4">
      <c r="B31" s="30"/>
      <c r="C31" s="2"/>
      <c r="E31" s="2"/>
      <c r="F31" s="31"/>
      <c r="H31" s="126" t="s">
        <v>76</v>
      </c>
      <c r="I31" s="127"/>
      <c r="J31" s="127"/>
      <c r="K31" s="127"/>
      <c r="L31" s="128"/>
    </row>
    <row r="32" spans="2:14" ht="30" hidden="1" customHeight="1" x14ac:dyDescent="0.35">
      <c r="B32" s="30"/>
      <c r="C32" s="99" t="s">
        <v>77</v>
      </c>
      <c r="E32" s="2">
        <f>(1+$E$30)*EXP((-1)*$E$30)</f>
        <v>0.64521570073785128</v>
      </c>
      <c r="F32" s="31"/>
      <c r="H32" s="112"/>
      <c r="I32" s="113"/>
      <c r="J32" s="113"/>
      <c r="K32" s="113"/>
      <c r="L32" s="114"/>
    </row>
    <row r="33" spans="2:12" ht="30" customHeight="1" x14ac:dyDescent="0.35">
      <c r="B33" s="30"/>
      <c r="C33" s="15" t="s">
        <v>78</v>
      </c>
      <c r="D33" s="38" t="s">
        <v>79</v>
      </c>
      <c r="E33" s="100">
        <f>(0.5*($E$32+1))/(1-(EXP((-1)*$E$30)))</f>
        <v>1.1536775790191927</v>
      </c>
      <c r="F33" s="31"/>
      <c r="H33" s="96"/>
      <c r="I33" s="97"/>
      <c r="J33" s="97"/>
      <c r="K33" s="97"/>
      <c r="L33" s="98"/>
    </row>
    <row r="34" spans="2:12" ht="18" customHeight="1" x14ac:dyDescent="0.35">
      <c r="B34" s="30"/>
      <c r="C34" s="15"/>
      <c r="E34" s="18"/>
      <c r="F34" s="31"/>
      <c r="H34" s="96"/>
      <c r="I34" s="97"/>
      <c r="J34" s="97"/>
      <c r="K34" s="97"/>
      <c r="L34" s="98"/>
    </row>
    <row r="35" spans="2:12" ht="29" x14ac:dyDescent="0.35">
      <c r="B35" s="30"/>
      <c r="C35" s="15" t="s">
        <v>80</v>
      </c>
      <c r="D35" s="38" t="s">
        <v>81</v>
      </c>
      <c r="E35" s="18">
        <f>ROUNDUP($E$18*$E$33,0)</f>
        <v>464</v>
      </c>
      <c r="F35" s="31"/>
      <c r="H35" s="90"/>
      <c r="I35" s="91"/>
      <c r="J35" s="91"/>
      <c r="K35" s="91"/>
      <c r="L35" s="92"/>
    </row>
    <row r="36" spans="2:12" x14ac:dyDescent="0.35">
      <c r="B36" s="30"/>
      <c r="C36" s="2"/>
      <c r="E36" s="2"/>
      <c r="F36" s="31"/>
      <c r="H36" s="90"/>
      <c r="I36" s="91"/>
      <c r="J36" s="91"/>
      <c r="K36" s="91"/>
      <c r="L36" s="92"/>
    </row>
    <row r="37" spans="2:12" ht="33" x14ac:dyDescent="0.4">
      <c r="B37" s="30"/>
      <c r="C37" s="25" t="s">
        <v>82</v>
      </c>
      <c r="D37" s="21" t="s">
        <v>83</v>
      </c>
      <c r="E37" s="116">
        <f>IF(E23="Household",E18,E35)</f>
        <v>464</v>
      </c>
      <c r="F37" s="31"/>
      <c r="H37" s="90"/>
      <c r="I37" s="91"/>
      <c r="J37" s="91"/>
      <c r="K37" s="91"/>
      <c r="L37" s="92"/>
    </row>
    <row r="38" spans="2:12" ht="15" thickBot="1" x14ac:dyDescent="0.4">
      <c r="B38" s="30"/>
      <c r="C38" s="2"/>
      <c r="F38" s="31"/>
      <c r="H38" s="90"/>
      <c r="I38" s="91"/>
      <c r="J38" s="91"/>
      <c r="K38" s="91"/>
      <c r="L38" s="92"/>
    </row>
    <row r="39" spans="2:12" ht="30" x14ac:dyDescent="0.45">
      <c r="B39" s="45" t="s">
        <v>84</v>
      </c>
      <c r="C39" s="46"/>
      <c r="D39" s="50" t="s">
        <v>85</v>
      </c>
      <c r="E39" s="59"/>
      <c r="F39" s="60"/>
      <c r="H39" s="90"/>
      <c r="I39" s="91"/>
      <c r="J39" s="91"/>
      <c r="K39" s="91"/>
      <c r="L39" s="92"/>
    </row>
    <row r="40" spans="2:12" x14ac:dyDescent="0.35">
      <c r="B40" s="30"/>
      <c r="F40" s="31"/>
      <c r="H40" s="90"/>
      <c r="I40" s="91"/>
      <c r="J40" s="91"/>
      <c r="K40" s="91"/>
      <c r="L40" s="92"/>
    </row>
    <row r="41" spans="2:12" ht="39.5" x14ac:dyDescent="0.35">
      <c r="B41" s="30"/>
      <c r="D41" s="23" t="s">
        <v>86</v>
      </c>
      <c r="E41" s="87">
        <v>1.3</v>
      </c>
      <c r="F41" s="33" t="s">
        <v>87</v>
      </c>
      <c r="H41" s="90"/>
      <c r="I41" s="91"/>
      <c r="J41" s="91"/>
      <c r="K41" s="91"/>
      <c r="L41" s="92"/>
    </row>
    <row r="42" spans="2:12" x14ac:dyDescent="0.35">
      <c r="B42" s="30"/>
      <c r="D42" s="23"/>
      <c r="E42" s="108"/>
      <c r="F42" s="33"/>
      <c r="H42" s="90"/>
      <c r="I42" s="91"/>
      <c r="J42" s="91"/>
      <c r="K42" s="91"/>
      <c r="L42" s="92"/>
    </row>
    <row r="43" spans="2:12" ht="42" customHeight="1" x14ac:dyDescent="0.35">
      <c r="B43" s="30"/>
      <c r="C43" s="15" t="s">
        <v>88</v>
      </c>
      <c r="D43" s="38" t="s">
        <v>123</v>
      </c>
      <c r="E43" s="117">
        <f>(1/(1-($E$41/100)))</f>
        <v>1.0131712259371835</v>
      </c>
      <c r="F43" s="33"/>
      <c r="H43" s="90"/>
      <c r="I43" s="91"/>
      <c r="J43" s="91"/>
      <c r="K43" s="91"/>
      <c r="L43" s="92"/>
    </row>
    <row r="44" spans="2:12" ht="48" customHeight="1" x14ac:dyDescent="0.35">
      <c r="B44" s="30"/>
      <c r="D44" s="23"/>
      <c r="E44" s="34" t="str">
        <f>IF(OR(E41&lt;0,E41&gt;=100), "Value out of range; re-enter value", " ")</f>
        <v xml:space="preserve"> </v>
      </c>
      <c r="F44" s="41"/>
      <c r="H44" s="90"/>
      <c r="I44" s="91"/>
      <c r="J44" s="91"/>
      <c r="K44" s="91"/>
      <c r="L44" s="92"/>
    </row>
    <row r="45" spans="2:12" ht="16.5" x14ac:dyDescent="0.45">
      <c r="B45" s="30"/>
      <c r="C45" s="36" t="s">
        <v>90</v>
      </c>
      <c r="D45" s="19" t="s">
        <v>91</v>
      </c>
      <c r="E45" s="24">
        <f>ROUNDUP((($E$37)*($E$43)),0)</f>
        <v>471</v>
      </c>
      <c r="F45" s="31"/>
      <c r="H45" s="90"/>
      <c r="I45" s="91"/>
      <c r="J45" s="91"/>
      <c r="K45" s="91"/>
      <c r="L45" s="92"/>
    </row>
    <row r="46" spans="2:12" ht="15" thickBot="1" x14ac:dyDescent="0.4">
      <c r="B46" s="42"/>
      <c r="C46" s="43"/>
      <c r="D46" s="43"/>
      <c r="E46" s="43"/>
      <c r="F46" s="44"/>
      <c r="H46" s="93"/>
      <c r="I46" s="94"/>
      <c r="J46" s="94"/>
      <c r="K46" s="94"/>
      <c r="L46" s="95"/>
    </row>
    <row r="55" spans="2:6" ht="89.25" customHeight="1" x14ac:dyDescent="0.35">
      <c r="B55" s="124"/>
      <c r="C55" s="125"/>
      <c r="D55" s="125"/>
      <c r="E55" s="125"/>
      <c r="F55" s="125"/>
    </row>
  </sheetData>
  <sheetProtection algorithmName="SHA-512" hashValue="hTiOcTb8i5tMFCWqcv2mrnN89B/q/td6YqKTFoExfM6VhZ0SJbE/WIacZdhqSyhid6aNE40vW9LI7o5u1slSEw==" saltValue="wOIMNPYBOYs/PxnomlVdkw==" spinCount="100000" sheet="1" selectLockedCells="1"/>
  <mergeCells count="3">
    <mergeCell ref="H31:L31"/>
    <mergeCell ref="B5:F5"/>
    <mergeCell ref="B55:F55"/>
  </mergeCells>
  <conditionalFormatting sqref="E26">
    <cfRule type="expression" dxfId="33" priority="7">
      <formula>E23="Household"</formula>
    </cfRule>
  </conditionalFormatting>
  <conditionalFormatting sqref="E28">
    <cfRule type="expression" dxfId="32" priority="6">
      <formula>E23="Household"</formula>
    </cfRule>
  </conditionalFormatting>
  <conditionalFormatting sqref="E30">
    <cfRule type="expression" dxfId="31" priority="5">
      <formula>E23="Household"</formula>
    </cfRule>
  </conditionalFormatting>
  <conditionalFormatting sqref="E33:E34">
    <cfRule type="expression" dxfId="30" priority="1">
      <formula>E23="Household"</formula>
    </cfRule>
  </conditionalFormatting>
  <conditionalFormatting sqref="E35">
    <cfRule type="expression" dxfId="29" priority="3">
      <formula>E23="Household"</formula>
    </cfRule>
    <cfRule type="expression" dxfId="28" priority="22">
      <formula>E24="Household"</formula>
    </cfRule>
  </conditionalFormatting>
  <dataValidations count="3">
    <dataValidation type="list" allowBlank="1" showInputMessage="1" showErrorMessage="1" sqref="E14" xr:uid="{00000000-0002-0000-0300-000000000000}">
      <formula1>$M$12:$M$17</formula1>
    </dataValidation>
    <dataValidation type="list" allowBlank="1" showInputMessage="1" showErrorMessage="1" sqref="E8" xr:uid="{00000000-0002-0000-0300-000001000000}">
      <formula1>$M$6:$M$7</formula1>
    </dataValidation>
    <dataValidation type="list" allowBlank="1" showInputMessage="1" showErrorMessage="1" sqref="E23" xr:uid="{00000000-0002-0000-0300-000002000000}">
      <formula1>$M$22:$M$23</formula1>
    </dataValidation>
  </dataValidations>
  <pageMargins left="0.7" right="0.7" top="0.75" bottom="0.75" header="0.3" footer="0.3"/>
  <pageSetup orientation="portrait"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O71"/>
  <sheetViews>
    <sheetView showGridLines="0" workbookViewId="0">
      <selection activeCell="E10" sqref="E10"/>
    </sheetView>
  </sheetViews>
  <sheetFormatPr defaultRowHeight="14.5" x14ac:dyDescent="0.35"/>
  <cols>
    <col min="2" max="2" width="19.453125" customWidth="1"/>
    <col min="3" max="3" width="10.81640625" customWidth="1"/>
    <col min="4" max="4" width="50.1796875" customWidth="1"/>
    <col min="5" max="5" width="14.81640625" customWidth="1"/>
    <col min="6" max="6" width="18.1796875" customWidth="1"/>
    <col min="13" max="13" width="15.453125" hidden="1" customWidth="1"/>
    <col min="14" max="14" width="16.7265625" hidden="1" customWidth="1"/>
    <col min="15" max="15" width="9.1796875" hidden="1" customWidth="1"/>
  </cols>
  <sheetData>
    <row r="4" spans="1:15" ht="15" thickBot="1" x14ac:dyDescent="0.4"/>
    <row r="5" spans="1:15" x14ac:dyDescent="0.35">
      <c r="B5" s="27"/>
      <c r="C5" s="28"/>
      <c r="D5" s="28"/>
      <c r="E5" s="28"/>
      <c r="F5" s="29"/>
    </row>
    <row r="6" spans="1:15" ht="18" customHeight="1" x14ac:dyDescent="0.35">
      <c r="A6" s="67"/>
      <c r="B6" s="66" t="s">
        <v>15</v>
      </c>
      <c r="F6" s="31"/>
    </row>
    <row r="7" spans="1:15" ht="18.75" customHeight="1" thickBot="1" x14ac:dyDescent="0.5">
      <c r="B7" s="121" t="s">
        <v>16</v>
      </c>
      <c r="C7" s="122"/>
      <c r="D7" s="122"/>
      <c r="E7" s="122"/>
      <c r="F7" s="123"/>
      <c r="M7" s="7" t="s">
        <v>109</v>
      </c>
      <c r="N7" s="4" t="s">
        <v>110</v>
      </c>
      <c r="O7" s="4" t="s">
        <v>111</v>
      </c>
    </row>
    <row r="8" spans="1:15" ht="31.5" customHeight="1" x14ac:dyDescent="0.35">
      <c r="B8" s="32" t="s">
        <v>36</v>
      </c>
      <c r="D8" s="1" t="s">
        <v>124</v>
      </c>
      <c r="E8" s="86">
        <v>23.2</v>
      </c>
      <c r="F8" s="48" t="s">
        <v>93</v>
      </c>
      <c r="M8" s="2">
        <v>0.1</v>
      </c>
      <c r="N8" s="3">
        <f>1-(M8/2)</f>
        <v>0.95</v>
      </c>
      <c r="O8" s="2">
        <v>1.64</v>
      </c>
    </row>
    <row r="9" spans="1:15" ht="43.5" customHeight="1" x14ac:dyDescent="0.35">
      <c r="B9" s="30"/>
      <c r="C9" s="39"/>
      <c r="E9" s="34" t="str">
        <f>IF(OR(E8&lt;=0, ISTEXT(E8)), "Value out of range; re-enter value", " ")</f>
        <v xml:space="preserve"> </v>
      </c>
      <c r="F9" s="33"/>
      <c r="M9" s="2">
        <v>0.05</v>
      </c>
      <c r="N9" s="3">
        <f>1-(M9/2)</f>
        <v>0.97499999999999998</v>
      </c>
      <c r="O9" s="3">
        <v>1.96</v>
      </c>
    </row>
    <row r="10" spans="1:15" x14ac:dyDescent="0.35">
      <c r="B10" s="30"/>
      <c r="C10" s="39"/>
      <c r="D10" t="s">
        <v>98</v>
      </c>
      <c r="E10" s="86" t="s">
        <v>99</v>
      </c>
      <c r="F10" s="35" t="s">
        <v>45</v>
      </c>
      <c r="M10" s="3"/>
      <c r="N10" s="3"/>
    </row>
    <row r="11" spans="1:15" x14ac:dyDescent="0.35">
      <c r="B11" s="30"/>
      <c r="C11" s="39"/>
      <c r="E11" s="2"/>
      <c r="F11" s="33"/>
      <c r="M11" s="3"/>
      <c r="N11" s="3"/>
    </row>
    <row r="12" spans="1:15" ht="24.75" customHeight="1" x14ac:dyDescent="0.35">
      <c r="B12" s="30"/>
      <c r="D12" s="5" t="s">
        <v>101</v>
      </c>
      <c r="E12" s="88">
        <v>3.6642320000000002</v>
      </c>
      <c r="F12" s="57" t="s">
        <v>93</v>
      </c>
      <c r="M12" s="3" t="s">
        <v>99</v>
      </c>
      <c r="N12" s="3"/>
    </row>
    <row r="13" spans="1:15" ht="43.5" customHeight="1" x14ac:dyDescent="0.35">
      <c r="B13" s="30"/>
      <c r="C13" s="39"/>
      <c r="E13" s="34" t="str">
        <f>IF(OR(E12&lt;=0,ISTEXT(E12)),"Value out of range; re-enter value", " ")</f>
        <v xml:space="preserve"> </v>
      </c>
      <c r="F13" s="33"/>
      <c r="M13" s="3" t="s">
        <v>100</v>
      </c>
      <c r="N13" s="3"/>
    </row>
    <row r="14" spans="1:15" x14ac:dyDescent="0.35">
      <c r="B14" s="30"/>
      <c r="C14" s="39"/>
      <c r="D14" s="5" t="s">
        <v>102</v>
      </c>
      <c r="E14" s="2"/>
      <c r="F14" s="33"/>
      <c r="M14" s="3"/>
      <c r="N14" s="3"/>
    </row>
    <row r="15" spans="1:15" x14ac:dyDescent="0.35">
      <c r="B15" s="30"/>
      <c r="C15" s="39"/>
      <c r="E15" s="2"/>
      <c r="F15" s="33"/>
      <c r="M15" s="3"/>
      <c r="N15" s="3"/>
    </row>
    <row r="16" spans="1:15" ht="28.5" customHeight="1" x14ac:dyDescent="0.35">
      <c r="B16" s="30"/>
      <c r="C16" s="63" t="s">
        <v>103</v>
      </c>
      <c r="D16" s="6" t="s">
        <v>104</v>
      </c>
      <c r="E16" s="86">
        <v>4</v>
      </c>
      <c r="F16" s="57" t="s">
        <v>93</v>
      </c>
      <c r="N16" s="3"/>
    </row>
    <row r="17" spans="2:14" ht="47.25" customHeight="1" x14ac:dyDescent="0.35">
      <c r="B17" s="30"/>
      <c r="C17" s="39"/>
      <c r="E17" s="34" t="str">
        <f>IF(OR(E16&lt;=0,ISTEXT(E16)), "Value out of range; re-enter value", " ")</f>
        <v xml:space="preserve"> </v>
      </c>
      <c r="F17" s="33"/>
      <c r="N17" s="3"/>
    </row>
    <row r="18" spans="2:14" ht="26.5" x14ac:dyDescent="0.35">
      <c r="B18" s="30"/>
      <c r="C18" s="63" t="s">
        <v>105</v>
      </c>
      <c r="D18" s="6" t="s">
        <v>106</v>
      </c>
      <c r="E18" s="86">
        <v>0</v>
      </c>
      <c r="F18" s="57" t="s">
        <v>125</v>
      </c>
    </row>
    <row r="19" spans="2:14" ht="48" customHeight="1" x14ac:dyDescent="0.35">
      <c r="B19" s="30"/>
      <c r="C19" s="2"/>
      <c r="E19" s="34" t="str">
        <f>IF(OR(OR(E18&lt;0,E16&lt;=E18), ISTEXT(E18)), "Value out of range; re-enter value", " ")</f>
        <v xml:space="preserve"> </v>
      </c>
      <c r="F19" s="31"/>
    </row>
    <row r="20" spans="2:14" x14ac:dyDescent="0.35">
      <c r="B20" s="30"/>
      <c r="D20" s="8" t="s">
        <v>108</v>
      </c>
      <c r="E20" s="17">
        <f>IF(E10="YES", E12, (E16-E18)/6)</f>
        <v>3.6642320000000002</v>
      </c>
      <c r="F20" s="31"/>
    </row>
    <row r="21" spans="2:14" x14ac:dyDescent="0.35">
      <c r="B21" s="30"/>
      <c r="C21" s="2"/>
      <c r="E21" s="2"/>
      <c r="F21" s="31"/>
    </row>
    <row r="22" spans="2:14" x14ac:dyDescent="0.35">
      <c r="B22" s="30"/>
      <c r="C22" s="65" t="s">
        <v>109</v>
      </c>
      <c r="D22" s="5" t="s">
        <v>114</v>
      </c>
      <c r="E22" s="86">
        <v>0.05</v>
      </c>
      <c r="F22" s="35" t="s">
        <v>45</v>
      </c>
    </row>
    <row r="23" spans="2:14" x14ac:dyDescent="0.35">
      <c r="B23" s="30"/>
      <c r="E23" s="2"/>
      <c r="F23" s="31"/>
    </row>
    <row r="24" spans="2:14" x14ac:dyDescent="0.35">
      <c r="B24" s="30"/>
      <c r="C24" s="64" t="s">
        <v>115</v>
      </c>
      <c r="D24" s="5" t="s">
        <v>116</v>
      </c>
      <c r="E24" s="2">
        <f>1-(E22/2)</f>
        <v>0.97499999999999998</v>
      </c>
      <c r="F24" s="31"/>
      <c r="M24" s="4" t="s">
        <v>117</v>
      </c>
      <c r="N24" s="4"/>
    </row>
    <row r="25" spans="2:14" x14ac:dyDescent="0.35">
      <c r="B25" s="30"/>
      <c r="E25" s="2"/>
      <c r="F25" s="31"/>
      <c r="M25" s="4"/>
      <c r="N25" s="4"/>
    </row>
    <row r="26" spans="2:14" ht="16.5" x14ac:dyDescent="0.45">
      <c r="B26" s="30"/>
      <c r="C26" s="2" t="s">
        <v>118</v>
      </c>
      <c r="D26" s="1" t="s">
        <v>119</v>
      </c>
      <c r="E26" s="17">
        <f>NORMSINV(E24)</f>
        <v>1.9599639845400536</v>
      </c>
      <c r="F26" s="31"/>
      <c r="M26" s="2">
        <v>0.05</v>
      </c>
    </row>
    <row r="27" spans="2:14" x14ac:dyDescent="0.35">
      <c r="B27" s="30"/>
      <c r="C27" s="2"/>
      <c r="E27" s="17"/>
      <c r="F27" s="31"/>
      <c r="M27" s="2">
        <v>0.06</v>
      </c>
    </row>
    <row r="28" spans="2:14" x14ac:dyDescent="0.35">
      <c r="B28" s="30"/>
      <c r="C28" s="2"/>
      <c r="D28" s="5" t="s">
        <v>126</v>
      </c>
      <c r="E28" s="88">
        <v>0.05</v>
      </c>
      <c r="F28" s="35" t="s">
        <v>45</v>
      </c>
      <c r="M28" s="2">
        <v>7.0000000000000007E-2</v>
      </c>
    </row>
    <row r="29" spans="2:14" x14ac:dyDescent="0.35">
      <c r="B29" s="30"/>
      <c r="C29" s="2"/>
      <c r="E29" s="2"/>
      <c r="F29" s="31"/>
      <c r="M29" s="2">
        <v>0.08</v>
      </c>
    </row>
    <row r="30" spans="2:14" x14ac:dyDescent="0.35">
      <c r="B30" s="30"/>
      <c r="C30" s="64" t="s">
        <v>117</v>
      </c>
      <c r="D30" s="1" t="s">
        <v>127</v>
      </c>
      <c r="E30" s="2">
        <f>E28*E8</f>
        <v>1.1599999999999999</v>
      </c>
      <c r="F30" s="31"/>
      <c r="M30" s="2">
        <v>0.09</v>
      </c>
    </row>
    <row r="31" spans="2:14" x14ac:dyDescent="0.35">
      <c r="B31" s="30"/>
      <c r="C31" s="2"/>
      <c r="E31" s="2"/>
      <c r="F31" s="31"/>
      <c r="M31" s="2">
        <v>0.1</v>
      </c>
    </row>
    <row r="32" spans="2:14" ht="45" customHeight="1" x14ac:dyDescent="0.45">
      <c r="B32" s="30"/>
      <c r="C32" s="64" t="s">
        <v>54</v>
      </c>
      <c r="D32" s="1" t="s">
        <v>55</v>
      </c>
      <c r="E32" s="86">
        <v>3.3</v>
      </c>
      <c r="F32" s="33" t="s">
        <v>56</v>
      </c>
    </row>
    <row r="33" spans="2:14" ht="50.25" customHeight="1" x14ac:dyDescent="0.35">
      <c r="B33" s="30"/>
      <c r="C33" s="2"/>
      <c r="E33" s="34" t="str">
        <f>IF(OR(E32&lt;=0,E32&gt;10), "Value out of range; re-enter value", " ")</f>
        <v xml:space="preserve"> </v>
      </c>
      <c r="F33" s="31"/>
      <c r="M33" t="s">
        <v>128</v>
      </c>
      <c r="N33" s="9">
        <f>(E26^2)*E32*(E20^2)</f>
        <v>170.20646349840922</v>
      </c>
    </row>
    <row r="34" spans="2:14" ht="16.5" x14ac:dyDescent="0.45">
      <c r="B34" s="30"/>
      <c r="C34" s="26" t="s">
        <v>58</v>
      </c>
      <c r="D34" s="36" t="s">
        <v>59</v>
      </c>
      <c r="E34" s="26">
        <f>ROUNDUP(N33/N34,0)</f>
        <v>127</v>
      </c>
      <c r="F34" s="31"/>
      <c r="M34" t="s">
        <v>129</v>
      </c>
      <c r="N34">
        <f>E30^2</f>
        <v>1.3455999999999999</v>
      </c>
    </row>
    <row r="35" spans="2:14" x14ac:dyDescent="0.35">
      <c r="B35" s="30"/>
      <c r="C35" s="2"/>
      <c r="F35" s="31"/>
    </row>
    <row r="36" spans="2:14" ht="15" thickBot="1" x14ac:dyDescent="0.4">
      <c r="B36" s="42"/>
      <c r="C36" s="49"/>
      <c r="D36" s="43"/>
      <c r="E36" s="43"/>
      <c r="F36" s="44"/>
    </row>
    <row r="37" spans="2:14" ht="29" x14ac:dyDescent="0.35">
      <c r="B37" s="32" t="s">
        <v>63</v>
      </c>
      <c r="C37" s="2"/>
      <c r="D37" s="13" t="s">
        <v>64</v>
      </c>
      <c r="E37" s="14"/>
      <c r="F37" s="37"/>
      <c r="M37" t="s">
        <v>68</v>
      </c>
    </row>
    <row r="38" spans="2:14" x14ac:dyDescent="0.35">
      <c r="B38" s="30"/>
      <c r="C38" s="2"/>
      <c r="F38" s="31"/>
      <c r="M38" t="s">
        <v>70</v>
      </c>
    </row>
    <row r="39" spans="2:14" x14ac:dyDescent="0.35">
      <c r="B39" s="30"/>
      <c r="C39" s="2"/>
      <c r="D39" t="s">
        <v>67</v>
      </c>
      <c r="E39" s="86" t="s">
        <v>68</v>
      </c>
      <c r="F39" s="35" t="s">
        <v>45</v>
      </c>
    </row>
    <row r="40" spans="2:14" ht="60.75" customHeight="1" x14ac:dyDescent="0.35">
      <c r="B40" s="30"/>
      <c r="C40" s="2"/>
      <c r="E40" s="53" t="str">
        <f>IF(E39="Household", "If household level indicator, skip to adjustment 2"," ")</f>
        <v xml:space="preserve"> </v>
      </c>
      <c r="F40" s="31"/>
    </row>
    <row r="41" spans="2:14" x14ac:dyDescent="0.35">
      <c r="B41" s="30"/>
      <c r="C41" s="2"/>
      <c r="D41" t="s">
        <v>69</v>
      </c>
      <c r="F41" s="31"/>
    </row>
    <row r="42" spans="2:14" ht="39.5" x14ac:dyDescent="0.35">
      <c r="B42" s="30"/>
      <c r="C42" s="2"/>
      <c r="D42" s="15" t="s">
        <v>71</v>
      </c>
      <c r="E42" s="86">
        <v>0.21159</v>
      </c>
      <c r="F42" s="33" t="s">
        <v>39</v>
      </c>
    </row>
    <row r="43" spans="2:14" ht="42.75" customHeight="1" x14ac:dyDescent="0.35">
      <c r="B43" s="30"/>
      <c r="C43" s="2"/>
      <c r="D43" s="15"/>
      <c r="E43" s="34" t="str">
        <f>IF(OR(E42&lt;=0,E42&gt;1), "Value out of range; re-enter value", " ")</f>
        <v xml:space="preserve"> </v>
      </c>
      <c r="F43" s="33"/>
    </row>
    <row r="44" spans="2:14" ht="52.5" customHeight="1" x14ac:dyDescent="0.35">
      <c r="B44" s="30"/>
      <c r="C44" s="2"/>
      <c r="D44" s="15" t="s">
        <v>72</v>
      </c>
      <c r="E44" s="86">
        <v>5.9</v>
      </c>
      <c r="F44" s="33" t="s">
        <v>73</v>
      </c>
    </row>
    <row r="45" spans="2:14" ht="47.25" customHeight="1" x14ac:dyDescent="0.35">
      <c r="B45" s="30"/>
      <c r="C45" s="2"/>
      <c r="D45" s="12"/>
      <c r="E45" s="34" t="str">
        <f>IF(OR(E44&lt;1,E44&gt;10), "Value out of range; re-enter value", " ")</f>
        <v xml:space="preserve"> </v>
      </c>
      <c r="F45" s="31"/>
    </row>
    <row r="46" spans="2:14" ht="15" thickBot="1" x14ac:dyDescent="0.4">
      <c r="B46" s="30"/>
      <c r="C46" s="39" t="s">
        <v>74</v>
      </c>
      <c r="D46" s="15" t="s">
        <v>75</v>
      </c>
      <c r="E46" s="17">
        <f>E42*E44</f>
        <v>1.2483810000000002</v>
      </c>
      <c r="F46" s="35"/>
    </row>
    <row r="47" spans="2:14" ht="30" customHeight="1" thickBot="1" x14ac:dyDescent="0.4">
      <c r="B47" s="30"/>
      <c r="C47" s="2"/>
      <c r="E47" s="2"/>
      <c r="F47" s="31"/>
      <c r="H47" s="126" t="s">
        <v>76</v>
      </c>
      <c r="I47" s="127"/>
      <c r="J47" s="127"/>
      <c r="K47" s="127"/>
      <c r="L47" s="128"/>
    </row>
    <row r="48" spans="2:14" ht="30" hidden="1" customHeight="1" x14ac:dyDescent="0.35">
      <c r="B48" s="30"/>
      <c r="C48" s="99" t="s">
        <v>77</v>
      </c>
      <c r="E48" s="2">
        <f>(1+$E$46)*EXP((-1)*$E$46)</f>
        <v>0.64521570073785128</v>
      </c>
      <c r="F48" s="31"/>
      <c r="H48" s="112"/>
      <c r="I48" s="113"/>
      <c r="J48" s="113"/>
      <c r="K48" s="113"/>
      <c r="L48" s="114"/>
    </row>
    <row r="49" spans="2:12" ht="29" x14ac:dyDescent="0.35">
      <c r="B49" s="30"/>
      <c r="C49" s="15" t="s">
        <v>78</v>
      </c>
      <c r="D49" s="38" t="s">
        <v>79</v>
      </c>
      <c r="E49" s="100">
        <f>(0.5*($E$48+1))/(1-(EXP((-1)*$E$46)))</f>
        <v>1.1536775790191927</v>
      </c>
      <c r="F49" s="31"/>
      <c r="H49" s="96"/>
      <c r="I49" s="97"/>
      <c r="J49" s="97"/>
      <c r="K49" s="97"/>
      <c r="L49" s="98"/>
    </row>
    <row r="50" spans="2:12" x14ac:dyDescent="0.35">
      <c r="B50" s="30"/>
      <c r="C50" s="15"/>
      <c r="D50" s="38"/>
      <c r="E50" s="100"/>
      <c r="F50" s="31"/>
      <c r="H50" s="96"/>
      <c r="I50" s="97"/>
      <c r="J50" s="97"/>
      <c r="K50" s="97"/>
      <c r="L50" s="98"/>
    </row>
    <row r="51" spans="2:12" ht="29" x14ac:dyDescent="0.35">
      <c r="B51" s="30"/>
      <c r="C51" s="15" t="s">
        <v>80</v>
      </c>
      <c r="D51" s="38" t="s">
        <v>81</v>
      </c>
      <c r="E51" s="18">
        <f>ROUNDUP($E$34*$E$49,0)</f>
        <v>147</v>
      </c>
      <c r="F51" s="31"/>
      <c r="H51" s="90"/>
      <c r="I51" s="91"/>
      <c r="J51" s="91"/>
      <c r="K51" s="91"/>
      <c r="L51" s="92"/>
    </row>
    <row r="52" spans="2:12" x14ac:dyDescent="0.35">
      <c r="B52" s="30"/>
      <c r="C52" s="2"/>
      <c r="E52" s="2"/>
      <c r="F52" s="31"/>
      <c r="H52" s="90"/>
      <c r="I52" s="91"/>
      <c r="J52" s="91"/>
      <c r="K52" s="91"/>
      <c r="L52" s="92"/>
    </row>
    <row r="53" spans="2:12" ht="33" x14ac:dyDescent="0.4">
      <c r="B53" s="30"/>
      <c r="C53" s="25" t="s">
        <v>82</v>
      </c>
      <c r="D53" s="21" t="s">
        <v>83</v>
      </c>
      <c r="E53" s="20">
        <f>IF(E39="Household",E34,E51)</f>
        <v>147</v>
      </c>
      <c r="F53" s="31"/>
      <c r="H53" s="90"/>
      <c r="I53" s="91"/>
      <c r="J53" s="91"/>
      <c r="K53" s="91"/>
      <c r="L53" s="92"/>
    </row>
    <row r="54" spans="2:12" ht="15" thickBot="1" x14ac:dyDescent="0.4">
      <c r="B54" s="30"/>
      <c r="C54" s="2"/>
      <c r="F54" s="31"/>
      <c r="H54" s="90"/>
      <c r="I54" s="91"/>
      <c r="J54" s="91"/>
      <c r="K54" s="91"/>
      <c r="L54" s="92"/>
    </row>
    <row r="55" spans="2:12" ht="30" x14ac:dyDescent="0.45">
      <c r="B55" s="45" t="s">
        <v>84</v>
      </c>
      <c r="C55" s="46"/>
      <c r="D55" s="50" t="s">
        <v>85</v>
      </c>
      <c r="E55" s="59"/>
      <c r="F55" s="60"/>
      <c r="H55" s="90"/>
      <c r="I55" s="91"/>
      <c r="J55" s="91"/>
      <c r="K55" s="91"/>
      <c r="L55" s="92"/>
    </row>
    <row r="56" spans="2:12" x14ac:dyDescent="0.35">
      <c r="B56" s="30"/>
      <c r="F56" s="31"/>
      <c r="H56" s="90"/>
      <c r="I56" s="91"/>
      <c r="J56" s="91"/>
      <c r="K56" s="91"/>
      <c r="L56" s="92"/>
    </row>
    <row r="57" spans="2:12" ht="39.5" x14ac:dyDescent="0.35">
      <c r="B57" s="30"/>
      <c r="D57" s="23" t="s">
        <v>86</v>
      </c>
      <c r="E57" s="87">
        <v>1.3</v>
      </c>
      <c r="F57" s="33" t="s">
        <v>87</v>
      </c>
      <c r="H57" s="90"/>
      <c r="I57" s="91"/>
      <c r="J57" s="91"/>
      <c r="K57" s="91"/>
      <c r="L57" s="92"/>
    </row>
    <row r="58" spans="2:12" x14ac:dyDescent="0.35">
      <c r="B58" s="30"/>
      <c r="D58" s="23"/>
      <c r="E58" s="108"/>
      <c r="F58" s="33"/>
      <c r="H58" s="90"/>
      <c r="I58" s="91"/>
      <c r="J58" s="91"/>
      <c r="K58" s="91"/>
      <c r="L58" s="92"/>
    </row>
    <row r="59" spans="2:12" ht="29" x14ac:dyDescent="0.35">
      <c r="B59" s="30"/>
      <c r="C59" s="15" t="s">
        <v>88</v>
      </c>
      <c r="D59" s="38" t="s">
        <v>123</v>
      </c>
      <c r="E59" s="104">
        <f>(1/(1-($E$57/100)))</f>
        <v>1.0131712259371835</v>
      </c>
      <c r="F59" s="33"/>
      <c r="H59" s="90"/>
      <c r="I59" s="91"/>
      <c r="J59" s="91"/>
      <c r="K59" s="91"/>
      <c r="L59" s="92"/>
    </row>
    <row r="60" spans="2:12" ht="46.5" customHeight="1" x14ac:dyDescent="0.35">
      <c r="B60" s="30"/>
      <c r="D60" s="23"/>
      <c r="E60" s="34" t="str">
        <f>IF(OR(E57&lt;0,E57&gt;=100), "Value out of range; re-enter value", " ")</f>
        <v xml:space="preserve"> </v>
      </c>
      <c r="F60" s="41"/>
      <c r="H60" s="90"/>
      <c r="I60" s="91"/>
      <c r="J60" s="91"/>
      <c r="K60" s="91"/>
      <c r="L60" s="92"/>
    </row>
    <row r="61" spans="2:12" ht="16.5" x14ac:dyDescent="0.45">
      <c r="B61" s="30"/>
      <c r="C61" s="36" t="s">
        <v>90</v>
      </c>
      <c r="D61" s="19" t="s">
        <v>91</v>
      </c>
      <c r="E61" s="24">
        <f>ROUNDUP((($E$53)*($E$59)),0)</f>
        <v>149</v>
      </c>
      <c r="F61" s="31"/>
      <c r="H61" s="90"/>
      <c r="I61" s="91"/>
      <c r="J61" s="91"/>
      <c r="K61" s="91"/>
      <c r="L61" s="92"/>
    </row>
    <row r="62" spans="2:12" ht="15" thickBot="1" x14ac:dyDescent="0.4">
      <c r="B62" s="42"/>
      <c r="C62" s="43"/>
      <c r="D62" s="43"/>
      <c r="E62" s="43"/>
      <c r="F62" s="44"/>
      <c r="H62" s="93"/>
      <c r="I62" s="94"/>
      <c r="J62" s="94"/>
      <c r="K62" s="94"/>
      <c r="L62" s="95"/>
    </row>
    <row r="71" spans="2:6" ht="90.75" customHeight="1" x14ac:dyDescent="0.35">
      <c r="B71" s="124"/>
      <c r="C71" s="125"/>
      <c r="D71" s="125"/>
      <c r="E71" s="125"/>
      <c r="F71" s="125"/>
    </row>
  </sheetData>
  <sheetProtection algorithmName="SHA-512" hashValue="RJPU3D7U6WWi+JCSyFjC9eEwMLpCZKN/kEKqfWMZg0gmoGtGRi6N6cPqGzvTP7SCilRUFOz3b+VjPdcPurpZsw==" saltValue="ZvtzmUQupIy6btt1MVZv5A==" spinCount="100000" sheet="1" selectLockedCells="1"/>
  <mergeCells count="3">
    <mergeCell ref="B7:F7"/>
    <mergeCell ref="H47:L47"/>
    <mergeCell ref="B71:F71"/>
  </mergeCells>
  <conditionalFormatting sqref="E12">
    <cfRule type="expression" dxfId="27" priority="18">
      <formula>E10="NO"</formula>
    </cfRule>
  </conditionalFormatting>
  <conditionalFormatting sqref="E16">
    <cfRule type="expression" dxfId="26" priority="17">
      <formula>E10="YES"</formula>
    </cfRule>
  </conditionalFormatting>
  <conditionalFormatting sqref="E18">
    <cfRule type="expression" dxfId="25" priority="16">
      <formula>E10="YES"</formula>
    </cfRule>
  </conditionalFormatting>
  <conditionalFormatting sqref="E42">
    <cfRule type="expression" dxfId="24" priority="10">
      <formula>E39="Household"</formula>
    </cfRule>
  </conditionalFormatting>
  <conditionalFormatting sqref="E44">
    <cfRule type="expression" dxfId="23" priority="9">
      <formula>E39="Household"</formula>
    </cfRule>
  </conditionalFormatting>
  <conditionalFormatting sqref="E46">
    <cfRule type="expression" dxfId="22" priority="8">
      <formula>E39="Household"</formula>
    </cfRule>
  </conditionalFormatting>
  <conditionalFormatting sqref="E49:E50">
    <cfRule type="expression" dxfId="21" priority="1">
      <formula>E39="Household"</formula>
    </cfRule>
  </conditionalFormatting>
  <conditionalFormatting sqref="E51">
    <cfRule type="expression" dxfId="20" priority="6">
      <formula>E39="Household"</formula>
    </cfRule>
    <cfRule type="expression" dxfId="19" priority="7">
      <formula>E40="Household"</formula>
    </cfRule>
  </conditionalFormatting>
  <conditionalFormatting sqref="F12">
    <cfRule type="expression" dxfId="18" priority="5">
      <formula>E10="NO"</formula>
    </cfRule>
  </conditionalFormatting>
  <conditionalFormatting sqref="F16">
    <cfRule type="expression" dxfId="17" priority="4">
      <formula>E10="YES"</formula>
    </cfRule>
  </conditionalFormatting>
  <conditionalFormatting sqref="F18">
    <cfRule type="expression" dxfId="16" priority="3">
      <formula>E10="YES"</formula>
    </cfRule>
  </conditionalFormatting>
  <dataValidations count="4">
    <dataValidation type="list" allowBlank="1" showInputMessage="1" showErrorMessage="1" sqref="E10" xr:uid="{00000000-0002-0000-0400-000000000000}">
      <formula1>$M$12:$M$13</formula1>
    </dataValidation>
    <dataValidation type="list" allowBlank="1" showInputMessage="1" showErrorMessage="1" sqref="E22" xr:uid="{00000000-0002-0000-0400-000001000000}">
      <formula1>$M$8:$M$9</formula1>
    </dataValidation>
    <dataValidation type="list" allowBlank="1" showInputMessage="1" showErrorMessage="1" sqref="E28" xr:uid="{00000000-0002-0000-0400-000002000000}">
      <formula1>$M$26:$M$31</formula1>
    </dataValidation>
    <dataValidation type="list" allowBlank="1" showInputMessage="1" showErrorMessage="1" sqref="E39" xr:uid="{00000000-0002-0000-0400-000003000000}">
      <formula1>$M$37:$M$38</formula1>
    </dataValidation>
  </dataValidations>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N61"/>
  <sheetViews>
    <sheetView showGridLines="0" topLeftCell="A11" workbookViewId="0">
      <selection activeCell="E13" sqref="E13"/>
    </sheetView>
  </sheetViews>
  <sheetFormatPr defaultRowHeight="14.5" x14ac:dyDescent="0.35"/>
  <cols>
    <col min="2" max="2" width="19.453125" customWidth="1"/>
    <col min="3" max="3" width="10.81640625" customWidth="1"/>
    <col min="4" max="4" width="50.1796875" customWidth="1"/>
    <col min="5" max="5" width="18.453125" customWidth="1"/>
    <col min="6" max="6" width="18" customWidth="1"/>
    <col min="13" max="13" width="15.453125" hidden="1" customWidth="1"/>
    <col min="14" max="14" width="0" hidden="1" customWidth="1"/>
  </cols>
  <sheetData>
    <row r="3" spans="2:14" ht="15" thickBot="1" x14ac:dyDescent="0.4"/>
    <row r="4" spans="2:14" x14ac:dyDescent="0.35">
      <c r="B4" s="27"/>
      <c r="C4" s="28"/>
      <c r="D4" s="28"/>
      <c r="E4" s="28"/>
      <c r="F4" s="29"/>
    </row>
    <row r="5" spans="2:14" ht="17" x14ac:dyDescent="0.4">
      <c r="B5" s="129" t="s">
        <v>18</v>
      </c>
      <c r="C5" s="130"/>
      <c r="D5" s="130"/>
      <c r="E5" s="130"/>
      <c r="F5" s="131"/>
    </row>
    <row r="6" spans="2:14" ht="15" thickBot="1" x14ac:dyDescent="0.4">
      <c r="B6" s="121" t="s">
        <v>19</v>
      </c>
      <c r="C6" s="122"/>
      <c r="D6" s="122"/>
      <c r="E6" s="122"/>
      <c r="F6" s="123"/>
    </row>
    <row r="7" spans="2:14" ht="30" x14ac:dyDescent="0.45">
      <c r="B7" s="61" t="s">
        <v>130</v>
      </c>
      <c r="C7" s="46" t="s">
        <v>131</v>
      </c>
      <c r="D7" s="47" t="s">
        <v>132</v>
      </c>
      <c r="E7" s="89">
        <v>1000</v>
      </c>
      <c r="F7" s="62" t="s">
        <v>93</v>
      </c>
    </row>
    <row r="8" spans="2:14" ht="50.25" customHeight="1" x14ac:dyDescent="0.45">
      <c r="B8" s="30"/>
      <c r="E8" s="34" t="str">
        <f>IF(OR(E7&lt;=0,ISTEXT(E7)), "Value out of range; re-enter value", " ")</f>
        <v xml:space="preserve"> </v>
      </c>
      <c r="F8" s="31"/>
      <c r="M8" s="4" t="s">
        <v>34</v>
      </c>
      <c r="N8" s="1" t="s">
        <v>35</v>
      </c>
    </row>
    <row r="9" spans="2:14" ht="44.25" customHeight="1" x14ac:dyDescent="0.45">
      <c r="B9" s="30"/>
      <c r="C9" s="2" t="s">
        <v>133</v>
      </c>
      <c r="D9" s="1" t="s">
        <v>134</v>
      </c>
      <c r="E9" s="86">
        <v>0.4</v>
      </c>
      <c r="F9" s="33" t="s">
        <v>39</v>
      </c>
      <c r="M9" s="3">
        <v>0.9</v>
      </c>
      <c r="N9" s="3">
        <v>1.28</v>
      </c>
    </row>
    <row r="10" spans="2:14" ht="50.25" customHeight="1" x14ac:dyDescent="0.35">
      <c r="B10" s="30"/>
      <c r="C10" s="2"/>
      <c r="E10" s="34" t="str">
        <f>IF(OR(E9&lt;=0,E9&gt;1), "Value out of range; re-enter value", " ")</f>
        <v xml:space="preserve"> </v>
      </c>
      <c r="F10" s="31"/>
      <c r="M10" s="3">
        <v>0.95</v>
      </c>
      <c r="N10" s="3">
        <v>1.64</v>
      </c>
    </row>
    <row r="11" spans="2:14" ht="67.5" x14ac:dyDescent="0.45">
      <c r="B11" s="30"/>
      <c r="C11" s="2" t="s">
        <v>135</v>
      </c>
      <c r="D11" s="1" t="s">
        <v>136</v>
      </c>
      <c r="E11" s="86">
        <v>0.33600000000000002</v>
      </c>
      <c r="F11" s="33" t="s">
        <v>137</v>
      </c>
      <c r="M11" s="3">
        <v>0.97499999999999998</v>
      </c>
      <c r="N11" s="3">
        <v>1.96</v>
      </c>
    </row>
    <row r="12" spans="2:14" ht="48.75" customHeight="1" x14ac:dyDescent="0.35">
      <c r="B12" s="30"/>
      <c r="C12" s="2"/>
      <c r="E12" s="34" t="str">
        <f>IF(OR(OR(E11&lt;=0,E11&gt;1),E9=E11), "Value out of range; re-enter value", " ")</f>
        <v xml:space="preserve"> </v>
      </c>
      <c r="F12" s="31"/>
    </row>
    <row r="13" spans="2:14" x14ac:dyDescent="0.35">
      <c r="B13" s="30"/>
      <c r="C13" s="64" t="s">
        <v>43</v>
      </c>
      <c r="D13" s="5" t="s">
        <v>44</v>
      </c>
      <c r="E13" s="86">
        <v>0.95</v>
      </c>
      <c r="F13" s="35" t="s">
        <v>45</v>
      </c>
    </row>
    <row r="14" spans="2:14" ht="16.5" x14ac:dyDescent="0.45">
      <c r="B14" s="30"/>
      <c r="E14" s="2"/>
      <c r="F14" s="31"/>
      <c r="M14" s="4" t="s">
        <v>46</v>
      </c>
      <c r="N14" s="4" t="s">
        <v>47</v>
      </c>
    </row>
    <row r="15" spans="2:14" ht="16.5" x14ac:dyDescent="0.45">
      <c r="B15" s="30"/>
      <c r="C15" s="2" t="s">
        <v>48</v>
      </c>
      <c r="D15" s="1" t="s">
        <v>49</v>
      </c>
      <c r="E15" s="17">
        <f>NORMSINV(E13)</f>
        <v>1.6448536269514715</v>
      </c>
      <c r="F15" s="31"/>
      <c r="M15" s="4"/>
      <c r="N15" s="4"/>
    </row>
    <row r="16" spans="2:14" x14ac:dyDescent="0.35">
      <c r="B16" s="30"/>
      <c r="C16" s="2"/>
      <c r="E16" s="2"/>
      <c r="F16" s="31"/>
      <c r="M16" s="4"/>
      <c r="N16" s="4"/>
    </row>
    <row r="17" spans="2:14" x14ac:dyDescent="0.35">
      <c r="B17" s="30"/>
      <c r="C17" s="64" t="s">
        <v>50</v>
      </c>
      <c r="D17" s="5" t="s">
        <v>51</v>
      </c>
      <c r="E17" s="86">
        <v>0.8</v>
      </c>
      <c r="F17" s="35" t="s">
        <v>45</v>
      </c>
      <c r="M17" s="3">
        <v>0.7</v>
      </c>
      <c r="N17" s="3">
        <v>0.53</v>
      </c>
    </row>
    <row r="18" spans="2:14" x14ac:dyDescent="0.35">
      <c r="B18" s="30"/>
      <c r="C18" s="2"/>
      <c r="E18" s="2"/>
      <c r="F18" s="31"/>
      <c r="M18" s="3">
        <v>0.8</v>
      </c>
      <c r="N18" s="3">
        <v>0.84</v>
      </c>
    </row>
    <row r="19" spans="2:14" ht="16.5" x14ac:dyDescent="0.45">
      <c r="B19" s="30"/>
      <c r="C19" s="2" t="s">
        <v>52</v>
      </c>
      <c r="D19" s="1" t="s">
        <v>53</v>
      </c>
      <c r="E19" s="17">
        <f>NORMSINV(E17)</f>
        <v>0.84162123357291474</v>
      </c>
      <c r="F19" s="31"/>
      <c r="M19" s="3">
        <v>0.9</v>
      </c>
      <c r="N19" s="3">
        <v>1.28</v>
      </c>
    </row>
    <row r="20" spans="2:14" x14ac:dyDescent="0.35">
      <c r="B20" s="30"/>
      <c r="C20" s="2"/>
      <c r="E20" s="2"/>
      <c r="F20" s="31"/>
    </row>
    <row r="21" spans="2:14" ht="45" customHeight="1" x14ac:dyDescent="0.45">
      <c r="B21" s="30"/>
      <c r="C21" s="64" t="s">
        <v>138</v>
      </c>
      <c r="D21" s="1" t="s">
        <v>139</v>
      </c>
      <c r="E21" s="86">
        <v>2</v>
      </c>
      <c r="F21" s="33" t="s">
        <v>56</v>
      </c>
    </row>
    <row r="22" spans="2:14" ht="48.75" customHeight="1" x14ac:dyDescent="0.35">
      <c r="B22" s="30"/>
      <c r="C22" s="2"/>
      <c r="E22" s="34" t="str">
        <f>IF(OR(E21&lt;=0,E21&gt;10), "Value out of range; re-enter value", " ")</f>
        <v xml:space="preserve"> </v>
      </c>
      <c r="F22" s="31"/>
      <c r="M22" t="s">
        <v>140</v>
      </c>
      <c r="N22">
        <f>E21*E9*(1-E9)</f>
        <v>0.48</v>
      </c>
    </row>
    <row r="23" spans="2:14" ht="16.5" x14ac:dyDescent="0.45">
      <c r="B23" s="30"/>
      <c r="C23" s="64" t="s">
        <v>141</v>
      </c>
      <c r="D23" t="s">
        <v>142</v>
      </c>
      <c r="E23" s="17">
        <f>N26/N27</f>
        <v>2.4448543609381153</v>
      </c>
      <c r="F23" s="31"/>
      <c r="M23" t="s">
        <v>143</v>
      </c>
      <c r="N23" s="10">
        <f>E21*E11*(1-E11)</f>
        <v>0.44620799999999999</v>
      </c>
    </row>
    <row r="24" spans="2:14" ht="60" customHeight="1" x14ac:dyDescent="0.35">
      <c r="B24" s="30"/>
      <c r="C24" s="2"/>
      <c r="E24" s="53" t="str">
        <f>IF(E23&lt;=0, "Implausible Scenario; Desired power can never be achieved", "")</f>
        <v/>
      </c>
      <c r="F24" s="31"/>
      <c r="M24" t="s">
        <v>144</v>
      </c>
      <c r="N24" s="10">
        <f>(E15+E19)^2</f>
        <v>6.1825572320197661</v>
      </c>
    </row>
    <row r="25" spans="2:14" ht="16.5" x14ac:dyDescent="0.45">
      <c r="B25" s="30"/>
      <c r="C25" s="26" t="s">
        <v>145</v>
      </c>
      <c r="D25" s="36" t="s">
        <v>146</v>
      </c>
      <c r="E25" s="26">
        <f>ROUNDUP(E23*E7,0)</f>
        <v>2445</v>
      </c>
      <c r="F25" s="31"/>
      <c r="M25" t="s">
        <v>147</v>
      </c>
      <c r="N25">
        <f>(E9-E11)^2</f>
        <v>4.0959999999999998E-3</v>
      </c>
    </row>
    <row r="26" spans="2:14" ht="15" thickBot="1" x14ac:dyDescent="0.4">
      <c r="B26" s="42"/>
      <c r="C26" s="49"/>
      <c r="D26" s="43"/>
      <c r="E26" s="43"/>
      <c r="F26" s="44"/>
      <c r="M26" t="s">
        <v>128</v>
      </c>
      <c r="N26">
        <f>N23*N24/N25</f>
        <v>673.51232846315338</v>
      </c>
    </row>
    <row r="27" spans="2:14" ht="29" x14ac:dyDescent="0.35">
      <c r="B27" s="32" t="s">
        <v>63</v>
      </c>
      <c r="C27" s="2"/>
      <c r="D27" s="13" t="s">
        <v>64</v>
      </c>
      <c r="E27" s="14"/>
      <c r="F27" s="37"/>
      <c r="M27" t="s">
        <v>129</v>
      </c>
      <c r="N27">
        <f>E7- (N22*N24/N25)</f>
        <v>275.48157437268367</v>
      </c>
    </row>
    <row r="28" spans="2:14" x14ac:dyDescent="0.35">
      <c r="B28" s="30"/>
      <c r="C28" s="2"/>
      <c r="F28" s="31"/>
    </row>
    <row r="29" spans="2:14" x14ac:dyDescent="0.35">
      <c r="B29" s="30"/>
      <c r="C29" s="2"/>
      <c r="D29" t="s">
        <v>67</v>
      </c>
      <c r="E29" s="86" t="s">
        <v>70</v>
      </c>
      <c r="F29" s="35" t="s">
        <v>45</v>
      </c>
    </row>
    <row r="30" spans="2:14" ht="61.5" customHeight="1" x14ac:dyDescent="0.35">
      <c r="B30" s="30"/>
      <c r="C30" s="2"/>
      <c r="E30" s="53" t="str">
        <f>IF(E29="Household", "If household level indicator, skip to adjustment 2"," ")</f>
        <v>If household level indicator, skip to adjustment 2</v>
      </c>
      <c r="F30" s="31"/>
      <c r="M30" t="s">
        <v>68</v>
      </c>
    </row>
    <row r="31" spans="2:14" x14ac:dyDescent="0.35">
      <c r="B31" s="30"/>
      <c r="C31" s="2"/>
      <c r="D31" t="s">
        <v>69</v>
      </c>
      <c r="F31" s="31"/>
      <c r="M31" t="s">
        <v>70</v>
      </c>
    </row>
    <row r="32" spans="2:14" ht="39.5" x14ac:dyDescent="0.35">
      <c r="B32" s="30"/>
      <c r="C32" s="2"/>
      <c r="D32" s="15" t="s">
        <v>71</v>
      </c>
      <c r="E32" s="86">
        <v>0.18</v>
      </c>
      <c r="F32" s="33" t="s">
        <v>39</v>
      </c>
    </row>
    <row r="33" spans="2:12" ht="44.25" customHeight="1" x14ac:dyDescent="0.35">
      <c r="B33" s="30"/>
      <c r="C33" s="2"/>
      <c r="D33" s="15"/>
      <c r="E33" s="34" t="str">
        <f>IF(OR(E32&lt;=0,E32&gt;1), "Value out of range; re-enter value", " ")</f>
        <v xml:space="preserve"> </v>
      </c>
      <c r="F33" s="33"/>
    </row>
    <row r="34" spans="2:12" ht="52.5" x14ac:dyDescent="0.35">
      <c r="B34" s="30"/>
      <c r="C34" s="2"/>
      <c r="D34" s="15" t="s">
        <v>72</v>
      </c>
      <c r="E34" s="86">
        <v>5</v>
      </c>
      <c r="F34" s="33" t="s">
        <v>73</v>
      </c>
    </row>
    <row r="35" spans="2:12" ht="49.5" customHeight="1" x14ac:dyDescent="0.35">
      <c r="B35" s="30"/>
      <c r="C35" s="2"/>
      <c r="D35" s="12"/>
      <c r="E35" s="34" t="str">
        <f>IF(OR(E34&lt;1,E34&gt;10), "Value out of range; re-enter value", " ")</f>
        <v xml:space="preserve"> </v>
      </c>
      <c r="F35" s="31"/>
    </row>
    <row r="36" spans="2:12" ht="15" thickBot="1" x14ac:dyDescent="0.4">
      <c r="B36" s="30"/>
      <c r="C36" s="39" t="s">
        <v>74</v>
      </c>
      <c r="D36" s="15" t="s">
        <v>75</v>
      </c>
      <c r="E36" s="17">
        <f>E32*E34</f>
        <v>0.89999999999999991</v>
      </c>
      <c r="F36" s="35"/>
    </row>
    <row r="37" spans="2:12" ht="30" customHeight="1" thickBot="1" x14ac:dyDescent="0.4">
      <c r="B37" s="30"/>
      <c r="C37" s="39"/>
      <c r="D37" s="15"/>
      <c r="E37" s="17"/>
      <c r="F37" s="35"/>
      <c r="H37" s="126" t="s">
        <v>76</v>
      </c>
      <c r="I37" s="127"/>
      <c r="J37" s="127"/>
      <c r="K37" s="127"/>
      <c r="L37" s="128"/>
    </row>
    <row r="38" spans="2:12" ht="28.5" hidden="1" customHeight="1" thickBot="1" x14ac:dyDescent="0.4">
      <c r="B38" s="30"/>
      <c r="C38" s="2" t="s">
        <v>77</v>
      </c>
      <c r="E38" s="2">
        <f>(1+$E$36)*EXP((-1)*$E$36)</f>
        <v>0.77248235350713834</v>
      </c>
      <c r="F38" s="31"/>
      <c r="H38" s="54"/>
      <c r="I38" s="55"/>
      <c r="J38" s="55"/>
      <c r="K38" s="55"/>
      <c r="L38" s="56"/>
    </row>
    <row r="39" spans="2:12" ht="30.75" customHeight="1" x14ac:dyDescent="0.35">
      <c r="B39" s="30"/>
      <c r="C39" s="15" t="s">
        <v>78</v>
      </c>
      <c r="D39" s="38" t="s">
        <v>79</v>
      </c>
      <c r="E39" s="100">
        <f>(0.5*($E$38+1))/(1-(EXP((-1)*$E$36)))</f>
        <v>1.4934207380872617</v>
      </c>
      <c r="F39" s="31"/>
      <c r="H39" s="96"/>
      <c r="I39" s="97"/>
      <c r="J39" s="97"/>
      <c r="K39" s="97"/>
      <c r="L39" s="98"/>
    </row>
    <row r="40" spans="2:12" x14ac:dyDescent="0.35">
      <c r="B40" s="30"/>
      <c r="C40" s="15"/>
      <c r="E40" s="18"/>
      <c r="F40" s="31"/>
      <c r="H40" s="90"/>
      <c r="I40" s="91"/>
      <c r="J40" s="91"/>
      <c r="K40" s="91"/>
      <c r="L40" s="92"/>
    </row>
    <row r="41" spans="2:12" ht="29" x14ac:dyDescent="0.35">
      <c r="B41" s="30"/>
      <c r="C41" s="15" t="s">
        <v>80</v>
      </c>
      <c r="D41" s="38" t="s">
        <v>81</v>
      </c>
      <c r="E41" s="18">
        <f>ROUNDUP($E$25*$E$39,0)</f>
        <v>3652</v>
      </c>
      <c r="F41" s="31"/>
      <c r="H41" s="90"/>
      <c r="I41" s="91"/>
      <c r="J41" s="91"/>
      <c r="K41" s="91"/>
      <c r="L41" s="92"/>
    </row>
    <row r="42" spans="2:12" x14ac:dyDescent="0.35">
      <c r="B42" s="30"/>
      <c r="C42" s="2"/>
      <c r="E42" s="2"/>
      <c r="F42" s="31"/>
      <c r="H42" s="90"/>
      <c r="I42" s="91"/>
      <c r="J42" s="91"/>
      <c r="K42" s="91"/>
      <c r="L42" s="92"/>
    </row>
    <row r="43" spans="2:12" ht="33" x14ac:dyDescent="0.4">
      <c r="B43" s="30"/>
      <c r="C43" s="25" t="s">
        <v>82</v>
      </c>
      <c r="D43" s="21" t="s">
        <v>83</v>
      </c>
      <c r="E43" s="20">
        <f>IF(E29="Household",E25,E41)</f>
        <v>2445</v>
      </c>
      <c r="F43" s="31"/>
      <c r="H43" s="90"/>
      <c r="I43" s="91"/>
      <c r="J43" s="91"/>
      <c r="K43" s="91"/>
      <c r="L43" s="92"/>
    </row>
    <row r="44" spans="2:12" ht="15" thickBot="1" x14ac:dyDescent="0.4">
      <c r="B44" s="30"/>
      <c r="C44" s="2"/>
      <c r="F44" s="31"/>
      <c r="H44" s="90"/>
      <c r="I44" s="91"/>
      <c r="J44" s="91"/>
      <c r="K44" s="91"/>
      <c r="L44" s="92"/>
    </row>
    <row r="45" spans="2:12" ht="30" x14ac:dyDescent="0.45">
      <c r="B45" s="45" t="s">
        <v>84</v>
      </c>
      <c r="C45" s="46"/>
      <c r="D45" s="50" t="s">
        <v>85</v>
      </c>
      <c r="E45" s="59"/>
      <c r="F45" s="60"/>
      <c r="H45" s="90"/>
      <c r="I45" s="91"/>
      <c r="J45" s="91"/>
      <c r="K45" s="91"/>
      <c r="L45" s="92"/>
    </row>
    <row r="46" spans="2:12" x14ac:dyDescent="0.35">
      <c r="B46" s="30"/>
      <c r="F46" s="31"/>
      <c r="H46" s="90"/>
      <c r="I46" s="91"/>
      <c r="J46" s="91"/>
      <c r="K46" s="91"/>
      <c r="L46" s="92"/>
    </row>
    <row r="47" spans="2:12" ht="39.5" x14ac:dyDescent="0.35">
      <c r="B47" s="30"/>
      <c r="D47" s="23" t="s">
        <v>86</v>
      </c>
      <c r="E47" s="87">
        <v>5</v>
      </c>
      <c r="F47" s="33" t="s">
        <v>87</v>
      </c>
      <c r="H47" s="90"/>
      <c r="I47" s="91"/>
      <c r="J47" s="91"/>
      <c r="K47" s="91"/>
      <c r="L47" s="92"/>
    </row>
    <row r="48" spans="2:12" x14ac:dyDescent="0.35">
      <c r="B48" s="30"/>
      <c r="D48" s="23"/>
      <c r="E48" s="108"/>
      <c r="F48" s="33"/>
      <c r="H48" s="90"/>
      <c r="I48" s="91"/>
      <c r="J48" s="91"/>
      <c r="K48" s="91"/>
      <c r="L48" s="92"/>
    </row>
    <row r="49" spans="2:12" ht="29" x14ac:dyDescent="0.35">
      <c r="B49" s="30"/>
      <c r="C49" s="15" t="s">
        <v>88</v>
      </c>
      <c r="D49" s="38" t="s">
        <v>123</v>
      </c>
      <c r="E49" s="104">
        <f>(1/(1-($E$47/100)))</f>
        <v>1.0526315789473684</v>
      </c>
      <c r="F49" s="33"/>
      <c r="H49" s="90"/>
      <c r="I49" s="91"/>
      <c r="J49" s="91"/>
      <c r="K49" s="91"/>
      <c r="L49" s="92"/>
    </row>
    <row r="50" spans="2:12" ht="45.75" customHeight="1" x14ac:dyDescent="0.35">
      <c r="B50" s="30"/>
      <c r="D50" s="23"/>
      <c r="E50" s="34" t="str">
        <f>IF(OR(E47&lt;0,E47&gt;=100), "Value out of range; re-enter value", " ")</f>
        <v xml:space="preserve"> </v>
      </c>
      <c r="F50" s="41"/>
      <c r="H50" s="90"/>
      <c r="I50" s="91"/>
      <c r="J50" s="91"/>
      <c r="K50" s="91"/>
      <c r="L50" s="92"/>
    </row>
    <row r="51" spans="2:12" ht="16.5" x14ac:dyDescent="0.45">
      <c r="B51" s="30"/>
      <c r="C51" s="36" t="s">
        <v>90</v>
      </c>
      <c r="D51" s="19" t="s">
        <v>91</v>
      </c>
      <c r="E51" s="24">
        <f>ROUNDUP((($E$43)*($E$49)),0)</f>
        <v>2574</v>
      </c>
      <c r="F51" s="31"/>
      <c r="H51" s="90"/>
      <c r="I51" s="91"/>
      <c r="J51" s="91"/>
      <c r="K51" s="91"/>
      <c r="L51" s="92"/>
    </row>
    <row r="52" spans="2:12" ht="15" thickBot="1" x14ac:dyDescent="0.4">
      <c r="B52" s="42"/>
      <c r="C52" s="43"/>
      <c r="D52" s="43"/>
      <c r="E52" s="43"/>
      <c r="F52" s="44"/>
      <c r="H52" s="93"/>
      <c r="I52" s="94"/>
      <c r="J52" s="94"/>
      <c r="K52" s="94"/>
      <c r="L52" s="95"/>
    </row>
    <row r="61" spans="2:12" ht="90.75" customHeight="1" x14ac:dyDescent="0.35">
      <c r="B61" s="124"/>
      <c r="C61" s="125"/>
      <c r="D61" s="125"/>
      <c r="E61" s="125"/>
      <c r="F61" s="125"/>
    </row>
  </sheetData>
  <sheetProtection algorithmName="SHA-512" hashValue="0QVQMfgeJLdDHbcvtsLpV5nbSmMWkjWxR2i3iOL6dscXwGXAiUzwd0BB9wKMFol4xm3noChaCSuKCC4o9+waDA==" saltValue="MDzka8xQUs6Epzewil4C8g==" spinCount="100000" sheet="1" selectLockedCells="1"/>
  <mergeCells count="4">
    <mergeCell ref="B5:F5"/>
    <mergeCell ref="B6:F6"/>
    <mergeCell ref="B61:F61"/>
    <mergeCell ref="H37:L37"/>
  </mergeCells>
  <conditionalFormatting sqref="E32">
    <cfRule type="expression" dxfId="15" priority="6">
      <formula>E29="Household"</formula>
    </cfRule>
  </conditionalFormatting>
  <conditionalFormatting sqref="E34">
    <cfRule type="expression" dxfId="14" priority="5">
      <formula>E29="Household"</formula>
    </cfRule>
  </conditionalFormatting>
  <conditionalFormatting sqref="E36:E37">
    <cfRule type="expression" dxfId="13" priority="4">
      <formula>E29="Household"</formula>
    </cfRule>
  </conditionalFormatting>
  <conditionalFormatting sqref="E39:E40">
    <cfRule type="expression" dxfId="12" priority="3">
      <formula>E29="Household"</formula>
    </cfRule>
  </conditionalFormatting>
  <conditionalFormatting sqref="E41">
    <cfRule type="expression" dxfId="11" priority="2">
      <formula>E29="Household"</formula>
    </cfRule>
    <cfRule type="expression" dxfId="10" priority="24">
      <formula>E30="Household"</formula>
    </cfRule>
  </conditionalFormatting>
  <conditionalFormatting sqref="F7">
    <cfRule type="expression" dxfId="9" priority="1">
      <formula>E1="YES"</formula>
    </cfRule>
  </conditionalFormatting>
  <dataValidations count="3">
    <dataValidation type="list" allowBlank="1" showInputMessage="1" showErrorMessage="1" sqref="E13" xr:uid="{00000000-0002-0000-0500-000000000000}">
      <formula1>$M$9:$M$11</formula1>
    </dataValidation>
    <dataValidation type="list" allowBlank="1" showInputMessage="1" showErrorMessage="1" sqref="E17" xr:uid="{00000000-0002-0000-0500-000001000000}">
      <formula1>$M$17:$M$19</formula1>
    </dataValidation>
    <dataValidation type="list" allowBlank="1" showInputMessage="1" showErrorMessage="1" sqref="E29" xr:uid="{00000000-0002-0000-0500-000002000000}">
      <formula1>$M$30:$M$31</formula1>
    </dataValidation>
  </dataValidation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N63"/>
  <sheetViews>
    <sheetView showGridLines="0" tabSelected="1" topLeftCell="A7" workbookViewId="0">
      <selection activeCell="E7" sqref="E7"/>
    </sheetView>
  </sheetViews>
  <sheetFormatPr defaultRowHeight="14.5" x14ac:dyDescent="0.35"/>
  <cols>
    <col min="2" max="2" width="19.453125" customWidth="1"/>
    <col min="3" max="3" width="10.81640625" customWidth="1"/>
    <col min="4" max="4" width="53" customWidth="1"/>
    <col min="5" max="5" width="18.81640625" customWidth="1"/>
    <col min="6" max="6" width="17.81640625" customWidth="1"/>
    <col min="13" max="13" width="15.453125" hidden="1" customWidth="1"/>
    <col min="14" max="14" width="0" hidden="1" customWidth="1"/>
  </cols>
  <sheetData>
    <row r="3" spans="2:14" ht="15" thickBot="1" x14ac:dyDescent="0.4"/>
    <row r="4" spans="2:14" x14ac:dyDescent="0.35">
      <c r="B4" s="27"/>
      <c r="C4" s="28"/>
      <c r="D4" s="28"/>
      <c r="E4" s="28"/>
      <c r="F4" s="29"/>
    </row>
    <row r="5" spans="2:14" ht="17" x14ac:dyDescent="0.4">
      <c r="B5" s="129" t="s">
        <v>21</v>
      </c>
      <c r="C5" s="130"/>
      <c r="D5" s="130"/>
      <c r="E5" s="130"/>
      <c r="F5" s="131"/>
    </row>
    <row r="6" spans="2:14" ht="15" thickBot="1" x14ac:dyDescent="0.4">
      <c r="B6" s="121" t="s">
        <v>22</v>
      </c>
      <c r="C6" s="122"/>
      <c r="D6" s="122"/>
      <c r="E6" s="122"/>
      <c r="F6" s="123"/>
    </row>
    <row r="7" spans="2:14" ht="30" x14ac:dyDescent="0.45">
      <c r="B7" s="61" t="s">
        <v>130</v>
      </c>
      <c r="C7" s="46" t="s">
        <v>131</v>
      </c>
      <c r="D7" s="47" t="s">
        <v>132</v>
      </c>
      <c r="E7" s="89">
        <v>1000</v>
      </c>
      <c r="F7" s="62" t="s">
        <v>93</v>
      </c>
    </row>
    <row r="8" spans="2:14" ht="45" customHeight="1" x14ac:dyDescent="0.45">
      <c r="B8" s="30"/>
      <c r="E8" s="34" t="str">
        <f>IF(OR(E7&lt;=0,ISTEXT(E7)), "Value out of range; re-enter value", " ")</f>
        <v xml:space="preserve"> </v>
      </c>
      <c r="F8" s="31"/>
      <c r="M8" s="4" t="s">
        <v>34</v>
      </c>
      <c r="N8" s="1" t="s">
        <v>35</v>
      </c>
    </row>
    <row r="9" spans="2:14" ht="27.75" customHeight="1" x14ac:dyDescent="0.35">
      <c r="B9" s="30"/>
      <c r="D9" s="1" t="s">
        <v>148</v>
      </c>
      <c r="E9" s="86">
        <v>1.7</v>
      </c>
      <c r="F9" s="33" t="s">
        <v>93</v>
      </c>
      <c r="M9" s="3">
        <v>0.9</v>
      </c>
      <c r="N9" s="3">
        <v>1.28</v>
      </c>
    </row>
    <row r="10" spans="2:14" ht="45.75" customHeight="1" x14ac:dyDescent="0.35">
      <c r="B10" s="30"/>
      <c r="C10" s="2"/>
      <c r="E10" s="34" t="str">
        <f>IF(OR(E9&lt;=0, ISTEXT(E9)), "Value out of range; re-enter value", " ")</f>
        <v xml:space="preserve"> </v>
      </c>
      <c r="F10" s="31"/>
      <c r="M10" s="3">
        <v>0.95</v>
      </c>
      <c r="N10" s="3">
        <v>1.64</v>
      </c>
    </row>
    <row r="11" spans="2:14" ht="54" x14ac:dyDescent="0.4">
      <c r="B11" s="30"/>
      <c r="D11" s="1" t="s">
        <v>149</v>
      </c>
      <c r="E11" s="86">
        <v>1.5</v>
      </c>
      <c r="F11" s="57" t="s">
        <v>150</v>
      </c>
      <c r="M11" s="3">
        <v>0.97499999999999998</v>
      </c>
      <c r="N11" s="3">
        <v>1.96</v>
      </c>
    </row>
    <row r="12" spans="2:14" ht="46.5" customHeight="1" x14ac:dyDescent="0.35">
      <c r="B12" s="30"/>
      <c r="C12" s="2"/>
      <c r="E12" s="34" t="str">
        <f>IF(OR(OR(E11&lt;=0,E9=E11),ISTEXT(E11)), "Value out of range; re-enter value", " ")</f>
        <v xml:space="preserve"> </v>
      </c>
      <c r="F12" s="31"/>
    </row>
    <row r="13" spans="2:14" ht="27.5" x14ac:dyDescent="0.45">
      <c r="B13" s="30"/>
      <c r="C13" s="39" t="s">
        <v>151</v>
      </c>
      <c r="D13" s="1" t="s">
        <v>152</v>
      </c>
      <c r="E13" s="88">
        <v>0.5</v>
      </c>
      <c r="F13" s="57" t="s">
        <v>93</v>
      </c>
    </row>
    <row r="14" spans="2:14" ht="45" customHeight="1" x14ac:dyDescent="0.35">
      <c r="B14" s="30"/>
      <c r="C14" s="2"/>
      <c r="E14" s="34" t="str">
        <f>IF(OR(E13&lt;=0,ISTEXT(E13)),"Value out of range; re-enter value", " ")</f>
        <v xml:space="preserve"> </v>
      </c>
      <c r="F14" s="31"/>
    </row>
    <row r="15" spans="2:14" x14ac:dyDescent="0.35">
      <c r="B15" s="30"/>
      <c r="C15" s="64" t="s">
        <v>43</v>
      </c>
      <c r="D15" s="5" t="s">
        <v>44</v>
      </c>
      <c r="E15" s="86">
        <v>0.95</v>
      </c>
      <c r="F15" s="35" t="s">
        <v>45</v>
      </c>
    </row>
    <row r="16" spans="2:14" ht="16.5" x14ac:dyDescent="0.45">
      <c r="B16" s="30"/>
      <c r="E16" s="2"/>
      <c r="F16" s="31"/>
      <c r="M16" s="4" t="s">
        <v>46</v>
      </c>
      <c r="N16" s="4" t="s">
        <v>47</v>
      </c>
    </row>
    <row r="17" spans="2:14" ht="16.5" x14ac:dyDescent="0.45">
      <c r="B17" s="30"/>
      <c r="C17" s="2" t="s">
        <v>48</v>
      </c>
      <c r="D17" s="1" t="s">
        <v>49</v>
      </c>
      <c r="E17" s="17">
        <f>NORMSINV(E15)</f>
        <v>1.6448536269514715</v>
      </c>
      <c r="F17" s="31"/>
      <c r="M17" s="4"/>
      <c r="N17" s="4"/>
    </row>
    <row r="18" spans="2:14" x14ac:dyDescent="0.35">
      <c r="B18" s="30"/>
      <c r="C18" s="2"/>
      <c r="E18" s="2"/>
      <c r="F18" s="31"/>
      <c r="M18" s="4"/>
      <c r="N18" s="4"/>
    </row>
    <row r="19" spans="2:14" x14ac:dyDescent="0.35">
      <c r="B19" s="30"/>
      <c r="C19" s="64" t="s">
        <v>50</v>
      </c>
      <c r="D19" s="5" t="s">
        <v>51</v>
      </c>
      <c r="E19" s="86">
        <v>0.8</v>
      </c>
      <c r="F19" s="35" t="s">
        <v>45</v>
      </c>
      <c r="M19" s="3">
        <v>0.7</v>
      </c>
      <c r="N19" s="3">
        <v>0.53</v>
      </c>
    </row>
    <row r="20" spans="2:14" x14ac:dyDescent="0.35">
      <c r="B20" s="30"/>
      <c r="C20" s="2"/>
      <c r="E20" s="2"/>
      <c r="F20" s="31"/>
      <c r="M20" s="3">
        <v>0.8</v>
      </c>
      <c r="N20" s="3">
        <v>0.84</v>
      </c>
    </row>
    <row r="21" spans="2:14" ht="16.5" x14ac:dyDescent="0.45">
      <c r="B21" s="30"/>
      <c r="C21" s="2" t="s">
        <v>52</v>
      </c>
      <c r="D21" s="1" t="s">
        <v>53</v>
      </c>
      <c r="E21" s="17">
        <f>NORMSINV(E19)</f>
        <v>0.84162123357291474</v>
      </c>
      <c r="F21" s="31"/>
      <c r="M21" s="3">
        <v>0.9</v>
      </c>
      <c r="N21" s="3">
        <v>1.28</v>
      </c>
    </row>
    <row r="22" spans="2:14" x14ac:dyDescent="0.35">
      <c r="B22" s="30"/>
      <c r="C22" s="2"/>
      <c r="E22" s="2"/>
      <c r="F22" s="31"/>
    </row>
    <row r="23" spans="2:14" ht="45" customHeight="1" x14ac:dyDescent="0.45">
      <c r="B23" s="30"/>
      <c r="C23" s="64" t="s">
        <v>138</v>
      </c>
      <c r="D23" s="1" t="s">
        <v>139</v>
      </c>
      <c r="E23" s="86">
        <v>5</v>
      </c>
      <c r="F23" s="33" t="s">
        <v>56</v>
      </c>
    </row>
    <row r="24" spans="2:14" ht="48" customHeight="1" x14ac:dyDescent="0.35">
      <c r="B24" s="30"/>
      <c r="C24" s="2"/>
      <c r="E24" s="34" t="str">
        <f>IF(OR(E23&lt;=0,E23&gt;10), "Value out of range; re-enter value", " ")</f>
        <v xml:space="preserve"> </v>
      </c>
      <c r="F24" s="31"/>
      <c r="M24" t="s">
        <v>140</v>
      </c>
      <c r="N24">
        <f>(E17+E21)^2</f>
        <v>6.1825572320197661</v>
      </c>
    </row>
    <row r="25" spans="2:14" ht="16.5" x14ac:dyDescent="0.45">
      <c r="B25" s="30"/>
      <c r="C25" s="64" t="s">
        <v>141</v>
      </c>
      <c r="D25" t="s">
        <v>142</v>
      </c>
      <c r="E25" s="17">
        <f>N26/N27</f>
        <v>0.23947209983506232</v>
      </c>
      <c r="F25" s="31"/>
      <c r="M25" t="s">
        <v>143</v>
      </c>
      <c r="N25" s="10">
        <f>(E9-E11)^2</f>
        <v>3.999999999999998E-2</v>
      </c>
    </row>
    <row r="26" spans="2:14" ht="58.5" customHeight="1" x14ac:dyDescent="0.35">
      <c r="B26" s="30"/>
      <c r="C26" s="2"/>
      <c r="E26" s="53" t="str">
        <f>IF(E25&lt;=0,"Implausible Scenario; Desired power can never be achieved","")</f>
        <v/>
      </c>
      <c r="F26" s="31"/>
      <c r="M26" t="s">
        <v>128</v>
      </c>
      <c r="N26" s="10">
        <f>E23*N24*(E13)^2/N25</f>
        <v>193.20491350061781</v>
      </c>
    </row>
    <row r="27" spans="2:14" ht="16.5" x14ac:dyDescent="0.45">
      <c r="B27" s="30"/>
      <c r="C27" s="26" t="s">
        <v>145</v>
      </c>
      <c r="D27" s="36" t="s">
        <v>146</v>
      </c>
      <c r="E27" s="26">
        <f>ROUNDUP(E25*E7,0)</f>
        <v>240</v>
      </c>
      <c r="F27" s="31"/>
      <c r="M27" t="s">
        <v>129</v>
      </c>
      <c r="N27" s="11">
        <f>E7-N26</f>
        <v>806.79508649938225</v>
      </c>
    </row>
    <row r="28" spans="2:14" ht="15" thickBot="1" x14ac:dyDescent="0.4">
      <c r="B28" s="42"/>
      <c r="C28" s="49"/>
      <c r="D28" s="43"/>
      <c r="E28" s="43"/>
      <c r="F28" s="44"/>
    </row>
    <row r="29" spans="2:14" ht="29" x14ac:dyDescent="0.35">
      <c r="B29" s="32" t="s">
        <v>63</v>
      </c>
      <c r="C29" s="2"/>
      <c r="D29" s="13" t="s">
        <v>64</v>
      </c>
      <c r="E29" s="14"/>
      <c r="F29" s="37"/>
    </row>
    <row r="30" spans="2:14" x14ac:dyDescent="0.35">
      <c r="B30" s="30"/>
      <c r="C30" s="2"/>
      <c r="F30" s="31"/>
      <c r="M30" t="s">
        <v>68</v>
      </c>
    </row>
    <row r="31" spans="2:14" x14ac:dyDescent="0.35">
      <c r="B31" s="30"/>
      <c r="C31" s="2"/>
      <c r="D31" t="s">
        <v>67</v>
      </c>
      <c r="E31" s="86" t="s">
        <v>68</v>
      </c>
      <c r="F31" s="35" t="s">
        <v>45</v>
      </c>
      <c r="M31" t="s">
        <v>70</v>
      </c>
    </row>
    <row r="32" spans="2:14" ht="59.25" customHeight="1" x14ac:dyDescent="0.35">
      <c r="B32" s="30"/>
      <c r="C32" s="2"/>
      <c r="E32" s="53" t="str">
        <f>IF(E31="Household", "If household level indicator, skip to adjustment 2"," ")</f>
        <v xml:space="preserve"> </v>
      </c>
      <c r="F32" s="31"/>
    </row>
    <row r="33" spans="2:12" x14ac:dyDescent="0.35">
      <c r="B33" s="30"/>
      <c r="C33" s="2"/>
      <c r="D33" t="s">
        <v>69</v>
      </c>
      <c r="F33" s="31"/>
    </row>
    <row r="34" spans="2:12" ht="39.5" x14ac:dyDescent="0.35">
      <c r="B34" s="30"/>
      <c r="C34" s="2"/>
      <c r="D34" s="15" t="s">
        <v>71</v>
      </c>
      <c r="E34" s="86">
        <v>0.18</v>
      </c>
      <c r="F34" s="33" t="s">
        <v>39</v>
      </c>
    </row>
    <row r="35" spans="2:12" ht="51.75" customHeight="1" x14ac:dyDescent="0.35">
      <c r="B35" s="30"/>
      <c r="C35" s="2"/>
      <c r="D35" s="15"/>
      <c r="E35" s="34" t="str">
        <f>IF(OR(E34&lt;=0,E34&gt;1), "Value out of range; re-enter value", " ")</f>
        <v xml:space="preserve"> </v>
      </c>
      <c r="F35" s="33"/>
    </row>
    <row r="36" spans="2:12" ht="52.5" x14ac:dyDescent="0.35">
      <c r="B36" s="30"/>
      <c r="C36" s="2"/>
      <c r="D36" s="15" t="s">
        <v>72</v>
      </c>
      <c r="E36" s="86">
        <v>5</v>
      </c>
      <c r="F36" s="33" t="s">
        <v>73</v>
      </c>
    </row>
    <row r="37" spans="2:12" ht="44.25" customHeight="1" x14ac:dyDescent="0.35">
      <c r="B37" s="30"/>
      <c r="C37" s="2"/>
      <c r="D37" s="12"/>
      <c r="E37" s="34" t="str">
        <f>IF(OR(E36&lt;1,E36&gt;10), "Value out of range; re-enter value", " ")</f>
        <v xml:space="preserve"> </v>
      </c>
      <c r="F37" s="31"/>
    </row>
    <row r="38" spans="2:12" ht="15" thickBot="1" x14ac:dyDescent="0.4">
      <c r="B38" s="30"/>
      <c r="C38" s="39" t="s">
        <v>74</v>
      </c>
      <c r="D38" s="15" t="s">
        <v>75</v>
      </c>
      <c r="E38" s="17">
        <f>E34*E36</f>
        <v>0.89999999999999991</v>
      </c>
      <c r="F38" s="35"/>
    </row>
    <row r="39" spans="2:12" ht="30" customHeight="1" thickBot="1" x14ac:dyDescent="0.4">
      <c r="B39" s="30"/>
      <c r="C39" s="39"/>
      <c r="D39" s="15"/>
      <c r="E39" s="17"/>
      <c r="F39" s="35"/>
      <c r="H39" s="126" t="s">
        <v>76</v>
      </c>
      <c r="I39" s="127"/>
      <c r="J39" s="127"/>
      <c r="K39" s="127"/>
      <c r="L39" s="128"/>
    </row>
    <row r="40" spans="2:12" ht="30.75" hidden="1" customHeight="1" x14ac:dyDescent="0.35">
      <c r="B40" s="30"/>
      <c r="C40" s="2" t="s">
        <v>77</v>
      </c>
      <c r="E40" s="2">
        <f>(1+$E$38)*EXP((-1)*$E$38)</f>
        <v>0.77248235350713834</v>
      </c>
      <c r="F40" s="31"/>
      <c r="H40" s="54"/>
      <c r="I40" s="55"/>
      <c r="J40" s="55"/>
      <c r="K40" s="55"/>
      <c r="L40" s="56"/>
    </row>
    <row r="41" spans="2:12" ht="29" x14ac:dyDescent="0.35">
      <c r="B41" s="30"/>
      <c r="C41" s="15" t="s">
        <v>78</v>
      </c>
      <c r="D41" s="38" t="s">
        <v>79</v>
      </c>
      <c r="E41" s="100">
        <f>(0.5*($E$40+1))/(1-(EXP((-1)*$E$38)))</f>
        <v>1.4934207380872617</v>
      </c>
      <c r="F41" s="31"/>
      <c r="H41" s="96"/>
      <c r="I41" s="97"/>
      <c r="J41" s="97"/>
      <c r="K41" s="97"/>
      <c r="L41" s="98"/>
    </row>
    <row r="42" spans="2:12" x14ac:dyDescent="0.35">
      <c r="B42" s="30"/>
      <c r="C42" s="15"/>
      <c r="E42" s="18"/>
      <c r="F42" s="31"/>
      <c r="H42" s="90"/>
      <c r="I42" s="91"/>
      <c r="J42" s="91"/>
      <c r="K42" s="91"/>
      <c r="L42" s="92"/>
    </row>
    <row r="43" spans="2:12" ht="16.5" x14ac:dyDescent="0.35">
      <c r="B43" s="30"/>
      <c r="C43" s="15" t="s">
        <v>80</v>
      </c>
      <c r="D43" s="38" t="s">
        <v>81</v>
      </c>
      <c r="E43" s="18">
        <f>ROUNDUP($E$27*$E$41,0)</f>
        <v>359</v>
      </c>
      <c r="F43" s="31"/>
      <c r="H43" s="90"/>
      <c r="I43" s="91"/>
      <c r="J43" s="91"/>
      <c r="K43" s="91"/>
      <c r="L43" s="92"/>
    </row>
    <row r="44" spans="2:12" x14ac:dyDescent="0.35">
      <c r="B44" s="30"/>
      <c r="C44" s="2"/>
      <c r="E44" s="2"/>
      <c r="F44" s="31"/>
      <c r="H44" s="90"/>
      <c r="I44" s="91"/>
      <c r="J44" s="91"/>
      <c r="K44" s="91"/>
      <c r="L44" s="92"/>
    </row>
    <row r="45" spans="2:12" ht="33" x14ac:dyDescent="0.4">
      <c r="B45" s="30"/>
      <c r="C45" s="25" t="s">
        <v>82</v>
      </c>
      <c r="D45" s="21" t="s">
        <v>83</v>
      </c>
      <c r="E45" s="20">
        <f>IF(E31="Household",E27,E43)</f>
        <v>359</v>
      </c>
      <c r="F45" s="31"/>
      <c r="H45" s="90"/>
      <c r="I45" s="91"/>
      <c r="J45" s="91"/>
      <c r="K45" s="91"/>
      <c r="L45" s="92"/>
    </row>
    <row r="46" spans="2:12" ht="15" thickBot="1" x14ac:dyDescent="0.4">
      <c r="B46" s="30"/>
      <c r="C46" s="2"/>
      <c r="F46" s="31"/>
      <c r="H46" s="90"/>
      <c r="I46" s="91"/>
      <c r="J46" s="91"/>
      <c r="K46" s="91"/>
      <c r="L46" s="92"/>
    </row>
    <row r="47" spans="2:12" ht="30" x14ac:dyDescent="0.45">
      <c r="B47" s="45" t="s">
        <v>84</v>
      </c>
      <c r="C47" s="46"/>
      <c r="D47" s="50" t="s">
        <v>85</v>
      </c>
      <c r="E47" s="59"/>
      <c r="F47" s="60"/>
      <c r="H47" s="90"/>
      <c r="I47" s="91"/>
      <c r="J47" s="91"/>
      <c r="K47" s="91"/>
      <c r="L47" s="92"/>
    </row>
    <row r="48" spans="2:12" x14ac:dyDescent="0.35">
      <c r="B48" s="30"/>
      <c r="F48" s="31"/>
      <c r="H48" s="90"/>
      <c r="I48" s="91"/>
      <c r="J48" s="91"/>
      <c r="K48" s="91"/>
      <c r="L48" s="92"/>
    </row>
    <row r="49" spans="2:12" ht="39.5" x14ac:dyDescent="0.35">
      <c r="B49" s="30"/>
      <c r="D49" s="23" t="s">
        <v>86</v>
      </c>
      <c r="E49" s="87">
        <v>5</v>
      </c>
      <c r="F49" s="33" t="s">
        <v>87</v>
      </c>
      <c r="H49" s="90"/>
      <c r="I49" s="91"/>
      <c r="J49" s="91"/>
      <c r="K49" s="91"/>
      <c r="L49" s="92"/>
    </row>
    <row r="50" spans="2:12" x14ac:dyDescent="0.35">
      <c r="B50" s="30"/>
      <c r="D50" s="23"/>
      <c r="E50" s="108"/>
      <c r="F50" s="33"/>
      <c r="H50" s="90"/>
      <c r="I50" s="91"/>
      <c r="J50" s="91"/>
      <c r="K50" s="91"/>
      <c r="L50" s="92"/>
    </row>
    <row r="51" spans="2:12" ht="29" x14ac:dyDescent="0.35">
      <c r="B51" s="30"/>
      <c r="C51" s="15" t="s">
        <v>88</v>
      </c>
      <c r="D51" s="38" t="s">
        <v>123</v>
      </c>
      <c r="E51" s="104">
        <f>(1/(1-($E$49/100)))</f>
        <v>1.0526315789473684</v>
      </c>
      <c r="F51" s="33"/>
      <c r="H51" s="90"/>
      <c r="I51" s="91"/>
      <c r="J51" s="91"/>
      <c r="K51" s="91"/>
      <c r="L51" s="92"/>
    </row>
    <row r="52" spans="2:12" ht="48.75" customHeight="1" x14ac:dyDescent="0.35">
      <c r="B52" s="30"/>
      <c r="D52" s="23"/>
      <c r="E52" s="34" t="str">
        <f>IF(OR(E49&lt;0,E49&gt;=100), "Value out of range; re-enter value", " ")</f>
        <v xml:space="preserve"> </v>
      </c>
      <c r="F52" s="41"/>
      <c r="H52" s="90"/>
      <c r="I52" s="91"/>
      <c r="J52" s="91"/>
      <c r="K52" s="91"/>
      <c r="L52" s="92"/>
    </row>
    <row r="53" spans="2:12" ht="16.5" x14ac:dyDescent="0.45">
      <c r="B53" s="30"/>
      <c r="C53" s="36" t="s">
        <v>90</v>
      </c>
      <c r="D53" s="19" t="s">
        <v>91</v>
      </c>
      <c r="E53" s="24">
        <f>ROUNDUP((($E$45)*($E$51)),0)</f>
        <v>378</v>
      </c>
      <c r="F53" s="31"/>
      <c r="H53" s="90"/>
      <c r="I53" s="91"/>
      <c r="J53" s="91"/>
      <c r="K53" s="91"/>
      <c r="L53" s="92"/>
    </row>
    <row r="54" spans="2:12" ht="15" thickBot="1" x14ac:dyDescent="0.4">
      <c r="B54" s="42"/>
      <c r="C54" s="43"/>
      <c r="D54" s="43"/>
      <c r="E54" s="43"/>
      <c r="F54" s="44"/>
      <c r="H54" s="93"/>
      <c r="I54" s="94"/>
      <c r="J54" s="94"/>
      <c r="K54" s="94"/>
      <c r="L54" s="95"/>
    </row>
    <row r="63" spans="2:12" ht="90.75" customHeight="1" x14ac:dyDescent="0.35">
      <c r="B63" s="124"/>
      <c r="C63" s="125"/>
      <c r="D63" s="125"/>
      <c r="E63" s="125"/>
      <c r="F63" s="125"/>
    </row>
  </sheetData>
  <sheetProtection algorithmName="SHA-512" hashValue="kpPiizyLPnsGpckHeRCBpv8OMSPtBU13qTBz0wUM36/0NNr67I8Cbpl76iLvxYlD7V68EW4g/IQMo0EMX6/mOg==" saltValue="A9hn8r4h4rWt27KmUsaCBA==" spinCount="100000" sheet="1" selectLockedCells="1"/>
  <mergeCells count="4">
    <mergeCell ref="B5:F5"/>
    <mergeCell ref="B6:F6"/>
    <mergeCell ref="H39:L39"/>
    <mergeCell ref="B63:F63"/>
  </mergeCells>
  <conditionalFormatting sqref="E34">
    <cfRule type="expression" dxfId="8" priority="9">
      <formula>E31="Household"</formula>
    </cfRule>
  </conditionalFormatting>
  <conditionalFormatting sqref="E36">
    <cfRule type="expression" dxfId="7" priority="8">
      <formula>E31="Household"</formula>
    </cfRule>
  </conditionalFormatting>
  <conditionalFormatting sqref="E38:E39">
    <cfRule type="expression" dxfId="6" priority="7">
      <formula>E31="Household"</formula>
    </cfRule>
  </conditionalFormatting>
  <conditionalFormatting sqref="E41:E42">
    <cfRule type="expression" dxfId="5" priority="1">
      <formula>E31="Household"</formula>
    </cfRule>
  </conditionalFormatting>
  <conditionalFormatting sqref="E43">
    <cfRule type="expression" dxfId="4" priority="5">
      <formula>E31="Household"</formula>
    </cfRule>
    <cfRule type="expression" dxfId="3" priority="27">
      <formula>E32="Household"</formula>
    </cfRule>
  </conditionalFormatting>
  <conditionalFormatting sqref="F7">
    <cfRule type="expression" dxfId="2" priority="4">
      <formula>E1="YES"</formula>
    </cfRule>
  </conditionalFormatting>
  <conditionalFormatting sqref="F11">
    <cfRule type="expression" dxfId="1" priority="3">
      <formula>E9="NO"</formula>
    </cfRule>
  </conditionalFormatting>
  <conditionalFormatting sqref="F13">
    <cfRule type="expression" dxfId="0" priority="2">
      <formula>E11="NO"</formula>
    </cfRule>
  </conditionalFormatting>
  <dataValidations count="3">
    <dataValidation type="list" allowBlank="1" showInputMessage="1" showErrorMessage="1" sqref="E19" xr:uid="{00000000-0002-0000-0600-000000000000}">
      <formula1>$M$19:$M$21</formula1>
    </dataValidation>
    <dataValidation type="list" allowBlank="1" showInputMessage="1" showErrorMessage="1" sqref="E15" xr:uid="{00000000-0002-0000-0600-000001000000}">
      <formula1>$M$9:$M$11</formula1>
    </dataValidation>
    <dataValidation type="list" allowBlank="1" showInputMessage="1" showErrorMessage="1" sqref="E31" xr:uid="{00000000-0002-0000-0600-000002000000}">
      <formula1>$M$30:$M$31</formula1>
    </dataValidation>
  </dataValidations>
  <pageMargins left="0.7" right="0.7" top="0.75" bottom="0.75" header="0.3" footer="0.3"/>
  <pageSetup orientation="portrait" horizontalDpi="4294967295" verticalDpi="4294967295"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3" ma:contentTypeDescription="Create a new document." ma:contentTypeScope="" ma:versionID="6229bc6e2580cc7c7b19c04d64859e77">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beddd486458379b3cb35373f85f5fe9c"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411E38-87E6-46AE-8B4E-C4DA8232E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58e8a2-dff7-4492-a987-8cd66a35f019"/>
    <ds:schemaRef ds:uri="a7a5a0b0-47c5-4056-9505-4cb74804ae11"/>
    <ds:schemaRef ds:uri="fa6a9aea-fb0f-4ddd-aff8-712634b7d5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B0A3CA-1DBA-42AD-A8B2-265C6D746B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Introduction and Instructions</vt:lpstr>
      <vt:lpstr>1. Comparative for Proportions</vt:lpstr>
      <vt:lpstr>2. Comparative for Means</vt:lpstr>
      <vt:lpstr>3. Descriptive for Proportions</vt:lpstr>
      <vt:lpstr>4. Descriptive for Means</vt:lpstr>
      <vt:lpstr>5.Comparative Proportions TopUp</vt:lpstr>
      <vt:lpstr>6. Comparative Means TopUp</vt:lpstr>
      <vt:lpstr>'1. Comparative for Proportions'!_Toc496022002</vt:lpstr>
      <vt:lpstr>'3. Descriptive for Proportions'!_Toc496022009</vt:lpstr>
      <vt:lpstr>'3. Descriptive for Proportions'!_Toc496022010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Size Calculator to Power Statistical Tests of Differences over Time for Indicators of Proportions or Means and for Descriptive PBSs</dc:title>
  <dc:subject/>
  <dc:creator>Diana Stukel</dc:creator>
  <cp:keywords/>
  <dc:description/>
  <cp:lastModifiedBy>Freitag, Patricia</cp:lastModifiedBy>
  <cp:revision>1</cp:revision>
  <dcterms:created xsi:type="dcterms:W3CDTF">2017-11-02T21:28:54Z</dcterms:created>
  <dcterms:modified xsi:type="dcterms:W3CDTF">2024-03-19T17:33:57Z</dcterms:modified>
  <cp:category/>
  <cp:contentStatus/>
</cp:coreProperties>
</file>