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5.xml" ContentType="application/vnd.openxmlformats-officedocument.drawing+xml"/>
  <Override PartName="/xl/worksheets/sheet1.xml" ContentType="application/vnd.openxmlformats-officedocument.spreadsheetml.worksheet+xml"/>
  <Override PartName="/xl/drawings/drawing4.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xl/theme/theme1.xml" ContentType="application/vnd.openxmlformats-officedocument.theme+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dstukel\Desktop\To File Feb 22, 2018\PBS Guide\Calculators\"/>
    </mc:Choice>
  </mc:AlternateContent>
  <bookViews>
    <workbookView xWindow="0" yWindow="0" windowWidth="23640" windowHeight="12180"/>
  </bookViews>
  <sheets>
    <sheet name="Introduction and Instructions" sheetId="8" r:id="rId1"/>
    <sheet name="1. Comparative for Proportions" sheetId="1" r:id="rId2"/>
    <sheet name="2. Comparative for Means" sheetId="3" r:id="rId3"/>
    <sheet name="3. Descriptive for Proportions" sheetId="4" r:id="rId4"/>
    <sheet name="4. Descriptive for Means" sheetId="5" r:id="rId5"/>
    <sheet name="5.Comparative Proportions TopUp" sheetId="6" r:id="rId6"/>
    <sheet name="6. Comparative Means TopUp" sheetId="7" r:id="rId7"/>
  </sheets>
  <definedNames>
    <definedName name="_Toc496022002" localSheetId="1">'1. Comparative for Proportions'!$B$4</definedName>
    <definedName name="_Toc496022009" localSheetId="3">'3. Descriptive for Proportions'!$B$4</definedName>
    <definedName name="_Toc496022010" localSheetId="3">'3. Descriptive for Proportions'!$B$4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8" i="7" l="1"/>
  <c r="E36" i="6"/>
  <c r="E46" i="5"/>
  <c r="E30" i="4"/>
  <c r="E46" i="3"/>
  <c r="E32" i="1" l="1"/>
  <c r="E8" i="6" l="1"/>
  <c r="E21" i="3"/>
  <c r="E48" i="7" l="1"/>
  <c r="E37" i="7"/>
  <c r="E35" i="7"/>
  <c r="E24" i="7"/>
  <c r="E14" i="7"/>
  <c r="E12" i="7"/>
  <c r="E10" i="7"/>
  <c r="E8" i="7"/>
  <c r="E32" i="7"/>
  <c r="E46" i="6"/>
  <c r="E35" i="6"/>
  <c r="E33" i="6"/>
  <c r="E22" i="6"/>
  <c r="E12" i="6"/>
  <c r="E10" i="6"/>
  <c r="E30" i="6"/>
  <c r="E19" i="3"/>
  <c r="E9" i="3"/>
  <c r="E7" i="3"/>
  <c r="E19" i="5"/>
  <c r="E17" i="5"/>
  <c r="E13" i="5"/>
  <c r="E9" i="5"/>
  <c r="E56" i="5"/>
  <c r="E43" i="5"/>
  <c r="E33" i="5"/>
  <c r="E45" i="5"/>
  <c r="E40" i="5"/>
  <c r="E17" i="4" l="1"/>
  <c r="E7" i="4"/>
  <c r="E40" i="4"/>
  <c r="E29" i="4"/>
  <c r="E27" i="4"/>
  <c r="E24" i="4"/>
  <c r="E56" i="3"/>
  <c r="E45" i="3"/>
  <c r="E43" i="3"/>
  <c r="E33" i="3"/>
  <c r="E15" i="3"/>
  <c r="E42" i="1"/>
  <c r="E31" i="1"/>
  <c r="E29" i="1"/>
  <c r="E19" i="1"/>
  <c r="E9" i="1"/>
  <c r="E7" i="1"/>
  <c r="E40" i="3" l="1"/>
  <c r="E26" i="1" l="1"/>
  <c r="N25" i="7" l="1"/>
  <c r="E21" i="7" l="1"/>
  <c r="E17" i="7"/>
  <c r="N24" i="7" l="1"/>
  <c r="N26" i="7" s="1"/>
  <c r="N27" i="7" s="1"/>
  <c r="E25" i="7" s="1"/>
  <c r="E19" i="6"/>
  <c r="E15" i="6"/>
  <c r="N25" i="6"/>
  <c r="N22" i="6"/>
  <c r="N23" i="6"/>
  <c r="E27" i="7" l="1"/>
  <c r="E40" i="7" s="1"/>
  <c r="E41" i="7" s="1"/>
  <c r="E26" i="7"/>
  <c r="N24" i="6"/>
  <c r="N26" i="6" s="1"/>
  <c r="N27" i="6" l="1"/>
  <c r="E23" i="6" s="1"/>
  <c r="E24" i="6" s="1"/>
  <c r="E30" i="5"/>
  <c r="N34" i="5" s="1"/>
  <c r="E10" i="4"/>
  <c r="E12" i="4" s="1"/>
  <c r="E24" i="5"/>
  <c r="E26" i="5" s="1"/>
  <c r="N9" i="5"/>
  <c r="N8" i="5"/>
  <c r="E20" i="5"/>
  <c r="N20" i="4"/>
  <c r="N7" i="4"/>
  <c r="N6" i="4"/>
  <c r="E16" i="1"/>
  <c r="E30" i="3"/>
  <c r="E26" i="3"/>
  <c r="E12" i="1"/>
  <c r="E48" i="5" l="1"/>
  <c r="E49" i="5"/>
  <c r="E51" i="5" s="1"/>
  <c r="E57" i="5" s="1"/>
  <c r="N33" i="5"/>
  <c r="E34" i="5" s="1"/>
  <c r="E25" i="6"/>
  <c r="E38" i="6" s="1"/>
  <c r="E39" i="6" s="1"/>
  <c r="N19" i="4"/>
  <c r="E18" i="4" s="1"/>
  <c r="E32" i="4" s="1"/>
  <c r="E33" i="4" s="1"/>
  <c r="E35" i="4" s="1"/>
  <c r="E41" i="4" s="1"/>
  <c r="E22" i="3"/>
  <c r="N35" i="3" s="1"/>
  <c r="E41" i="6" l="1"/>
  <c r="E47" i="6" s="1"/>
  <c r="E10" i="3"/>
  <c r="N34" i="3"/>
  <c r="E34" i="3" l="1"/>
  <c r="E48" i="3" s="1"/>
  <c r="E49" i="3" s="1"/>
  <c r="E51" i="3" s="1"/>
  <c r="E57" i="3" s="1"/>
  <c r="N22" i="1"/>
  <c r="N21" i="1"/>
  <c r="N19" i="1"/>
  <c r="N20" i="1" s="1"/>
  <c r="N24" i="1" l="1"/>
  <c r="N23" i="1"/>
  <c r="E20" i="1" l="1"/>
  <c r="E34" i="1" s="1"/>
  <c r="E35" i="1" s="1"/>
  <c r="E37" i="1" s="1"/>
  <c r="E43" i="1" s="1"/>
  <c r="E43" i="7"/>
  <c r="E49" i="7" s="1"/>
</calcChain>
</file>

<file path=xl/sharedStrings.xml><?xml version="1.0" encoding="utf-8"?>
<sst xmlns="http://schemas.openxmlformats.org/spreadsheetml/2006/main" count="412" uniqueCount="145">
  <si>
    <t>Initial Sample Size</t>
  </si>
  <si>
    <r>
      <t>P</t>
    </r>
    <r>
      <rPr>
        <vertAlign val="subscript"/>
        <sz val="11"/>
        <color theme="1"/>
        <rFont val="Calibri"/>
        <family val="2"/>
        <scheme val="minor"/>
      </rPr>
      <t>1,est</t>
    </r>
  </si>
  <si>
    <t>Estimate of proportion at time point 1</t>
  </si>
  <si>
    <r>
      <t>P</t>
    </r>
    <r>
      <rPr>
        <vertAlign val="subscript"/>
        <sz val="11"/>
        <color theme="1"/>
        <rFont val="Calibri"/>
        <family val="2"/>
        <scheme val="minor"/>
      </rPr>
      <t>2,est</t>
    </r>
  </si>
  <si>
    <t>Estimate of proportion at time point 2</t>
  </si>
  <si>
    <t>Confidence Level</t>
  </si>
  <si>
    <r>
      <t>z</t>
    </r>
    <r>
      <rPr>
        <vertAlign val="subscript"/>
        <sz val="11"/>
        <color theme="1"/>
        <rFont val="Calibri"/>
        <family val="2"/>
        <scheme val="minor"/>
      </rPr>
      <t>1-α</t>
    </r>
  </si>
  <si>
    <r>
      <t>z</t>
    </r>
    <r>
      <rPr>
        <vertAlign val="subscript"/>
        <sz val="11"/>
        <color theme="1"/>
        <rFont val="Calibri"/>
        <family val="2"/>
        <scheme val="minor"/>
      </rPr>
      <t>1-</t>
    </r>
    <r>
      <rPr>
        <vertAlign val="subscript"/>
        <sz val="11"/>
        <color theme="1"/>
        <rFont val="Calibri"/>
        <family val="2"/>
      </rPr>
      <t>β</t>
    </r>
  </si>
  <si>
    <r>
      <t>1-</t>
    </r>
    <r>
      <rPr>
        <b/>
        <sz val="11"/>
        <color theme="1"/>
        <rFont val="Calibri"/>
        <family val="2"/>
      </rPr>
      <t>α</t>
    </r>
  </si>
  <si>
    <r>
      <t>z</t>
    </r>
    <r>
      <rPr>
        <b/>
        <vertAlign val="subscript"/>
        <sz val="11"/>
        <color theme="1"/>
        <rFont val="Calibri"/>
        <family val="2"/>
        <scheme val="minor"/>
      </rPr>
      <t>1-α</t>
    </r>
  </si>
  <si>
    <r>
      <t>1-</t>
    </r>
    <r>
      <rPr>
        <b/>
        <sz val="11"/>
        <color theme="1"/>
        <rFont val="Calibri"/>
        <family val="2"/>
      </rPr>
      <t>β</t>
    </r>
  </si>
  <si>
    <r>
      <t>z</t>
    </r>
    <r>
      <rPr>
        <b/>
        <vertAlign val="subscript"/>
        <sz val="11"/>
        <color theme="1"/>
        <rFont val="Calibri"/>
        <family val="2"/>
        <scheme val="minor"/>
      </rPr>
      <t>1-</t>
    </r>
    <r>
      <rPr>
        <b/>
        <vertAlign val="subscript"/>
        <sz val="11"/>
        <color theme="1"/>
        <rFont val="Calibri"/>
        <family val="2"/>
      </rPr>
      <t>β</t>
    </r>
  </si>
  <si>
    <t>Design Effect</t>
  </si>
  <si>
    <t>Use drop-down box</t>
  </si>
  <si>
    <t>Enter value greater than 0 and less than or equal to 10</t>
  </si>
  <si>
    <t>Pbar</t>
  </si>
  <si>
    <t>Pbar*(1-Pbar)</t>
  </si>
  <si>
    <t>P1est*(1-P1est)</t>
  </si>
  <si>
    <t>P2est*(1-P2est)</t>
  </si>
  <si>
    <t>Num1</t>
  </si>
  <si>
    <t>Num2</t>
  </si>
  <si>
    <r>
      <t>n</t>
    </r>
    <r>
      <rPr>
        <vertAlign val="subscript"/>
        <sz val="11"/>
        <color theme="1"/>
        <rFont val="Calibri"/>
        <family val="2"/>
        <scheme val="minor"/>
      </rPr>
      <t>initial</t>
    </r>
  </si>
  <si>
    <t>INITIAL SAMPLE SIZE</t>
  </si>
  <si>
    <t>ADJUSTMENT 1</t>
  </si>
  <si>
    <t>Estimate of mean at time point 1</t>
  </si>
  <si>
    <t>Estimate of mean at time point 2</t>
  </si>
  <si>
    <t>Delta</t>
  </si>
  <si>
    <t>δ</t>
  </si>
  <si>
    <t>Estimate of Standard Deviation Available?</t>
  </si>
  <si>
    <r>
      <t xml:space="preserve">If YES, write estimate here </t>
    </r>
    <r>
      <rPr>
        <sz val="9"/>
        <rFont val="Calibri"/>
        <family val="2"/>
      </rPr>
      <t>(in units of indicator)</t>
    </r>
    <r>
      <rPr>
        <sz val="11"/>
        <rFont val="Calibri"/>
        <family val="2"/>
      </rPr>
      <t>:</t>
    </r>
  </si>
  <si>
    <t>If NO, provide estimates of minimum and maximum:</t>
  </si>
  <si>
    <t>max</t>
  </si>
  <si>
    <t>min</t>
  </si>
  <si>
    <t>Standard deviation</t>
  </si>
  <si>
    <t>YES</t>
  </si>
  <si>
    <t>NO</t>
  </si>
  <si>
    <r>
      <t xml:space="preserve">Estimate of maximum </t>
    </r>
    <r>
      <rPr>
        <sz val="9"/>
        <rFont val="Calibri"/>
        <family val="2"/>
      </rPr>
      <t>(per individual or household in units of indicator)</t>
    </r>
  </si>
  <si>
    <r>
      <t>P</t>
    </r>
    <r>
      <rPr>
        <vertAlign val="subscript"/>
        <sz val="11"/>
        <color theme="1"/>
        <rFont val="Calibri"/>
        <family val="2"/>
        <scheme val="minor"/>
      </rPr>
      <t>est</t>
    </r>
  </si>
  <si>
    <t>MOE</t>
  </si>
  <si>
    <t>Margin of Error (between 0.05-0.10)</t>
  </si>
  <si>
    <t>Num</t>
  </si>
  <si>
    <t>Den</t>
  </si>
  <si>
    <r>
      <t>z</t>
    </r>
    <r>
      <rPr>
        <vertAlign val="subscript"/>
        <sz val="11"/>
        <color theme="1"/>
        <rFont val="Calibri"/>
        <family val="2"/>
        <scheme val="minor"/>
      </rPr>
      <t>1-α/2</t>
    </r>
  </si>
  <si>
    <r>
      <t>1-(</t>
    </r>
    <r>
      <rPr>
        <b/>
        <sz val="11"/>
        <color theme="1"/>
        <rFont val="Calibri"/>
        <family val="2"/>
      </rPr>
      <t>α/2)</t>
    </r>
  </si>
  <si>
    <r>
      <t>z</t>
    </r>
    <r>
      <rPr>
        <b/>
        <vertAlign val="subscript"/>
        <sz val="11"/>
        <color theme="1"/>
        <rFont val="Calibri"/>
        <family val="2"/>
        <scheme val="minor"/>
      </rPr>
      <t>1-α/2</t>
    </r>
  </si>
  <si>
    <t>α</t>
  </si>
  <si>
    <t>Acceptable Error (between 0.05-0.1)</t>
  </si>
  <si>
    <t>Alpha</t>
  </si>
  <si>
    <r>
      <t>Normal Probability value corresponding to 1-(</t>
    </r>
    <r>
      <rPr>
        <b/>
        <sz val="11"/>
        <color theme="1"/>
        <rFont val="Calibri"/>
        <family val="2"/>
      </rPr>
      <t>α/2)</t>
    </r>
  </si>
  <si>
    <r>
      <t>Normal Probability value corresponding to 1-</t>
    </r>
    <r>
      <rPr>
        <b/>
        <sz val="11"/>
        <color theme="1"/>
        <rFont val="Calibri"/>
        <family val="2"/>
      </rPr>
      <t>α</t>
    </r>
  </si>
  <si>
    <r>
      <t>Normal Probability value corresponding to 1-</t>
    </r>
    <r>
      <rPr>
        <b/>
        <sz val="11"/>
        <color theme="1"/>
        <rFont val="Calibri"/>
        <family val="2"/>
      </rPr>
      <t>β</t>
    </r>
  </si>
  <si>
    <r>
      <t>Confidence Level</t>
    </r>
    <r>
      <rPr>
        <sz val="10"/>
        <rFont val="Calibri"/>
        <family val="2"/>
      </rPr>
      <t xml:space="preserve"> (95% recommended)</t>
    </r>
  </si>
  <si>
    <r>
      <t xml:space="preserve">Power </t>
    </r>
    <r>
      <rPr>
        <sz val="10"/>
        <rFont val="Calibri"/>
        <family val="2"/>
      </rPr>
      <t>(80% recommended)</t>
    </r>
  </si>
  <si>
    <t>NUM</t>
  </si>
  <si>
    <t>DEN</t>
  </si>
  <si>
    <t xml:space="preserve">Estimate of proportion </t>
  </si>
  <si>
    <t>Estimate of mean</t>
  </si>
  <si>
    <t>Margin of Error (Acceptable Error*Estimate of Mean)</t>
  </si>
  <si>
    <r>
      <t>P</t>
    </r>
    <r>
      <rPr>
        <vertAlign val="subscript"/>
        <sz val="11"/>
        <color theme="1"/>
        <rFont val="Calibri"/>
        <family val="2"/>
        <scheme val="minor"/>
      </rPr>
      <t>1,actual</t>
    </r>
  </si>
  <si>
    <r>
      <t>n</t>
    </r>
    <r>
      <rPr>
        <vertAlign val="subscript"/>
        <sz val="11"/>
        <color theme="1"/>
        <rFont val="Calibri"/>
        <family val="2"/>
        <scheme val="minor"/>
      </rPr>
      <t>initial, actual</t>
    </r>
  </si>
  <si>
    <t>K</t>
  </si>
  <si>
    <r>
      <t>n</t>
    </r>
    <r>
      <rPr>
        <vertAlign val="subscript"/>
        <sz val="11"/>
        <color theme="1"/>
        <rFont val="Calibri"/>
        <family val="2"/>
        <scheme val="minor"/>
      </rPr>
      <t>initial, adjusted</t>
    </r>
  </si>
  <si>
    <t>Actual proportion at time point 1</t>
  </si>
  <si>
    <t>Actual design effect at time point 1</t>
  </si>
  <si>
    <t>Target proportion at time point 2</t>
  </si>
  <si>
    <r>
      <t>Inflation Factor to apply to n</t>
    </r>
    <r>
      <rPr>
        <vertAlign val="subscript"/>
        <sz val="11"/>
        <color theme="1"/>
        <rFont val="Calibri"/>
        <family val="2"/>
        <scheme val="minor"/>
      </rPr>
      <t xml:space="preserve">initial,actual </t>
    </r>
    <r>
      <rPr>
        <sz val="11"/>
        <color theme="1"/>
        <rFont val="Calibri"/>
        <family val="2"/>
        <scheme val="minor"/>
      </rPr>
      <t>at time point 2</t>
    </r>
  </si>
  <si>
    <t>Actual initial sample size at time point 1</t>
  </si>
  <si>
    <t>TERM1</t>
  </si>
  <si>
    <t>TERM2</t>
  </si>
  <si>
    <t>TERM3</t>
  </si>
  <si>
    <t>TERM4</t>
  </si>
  <si>
    <t>Actual mean at time point 1</t>
  </si>
  <si>
    <t>Target mean at time point 2</t>
  </si>
  <si>
    <r>
      <t>σ</t>
    </r>
    <r>
      <rPr>
        <vertAlign val="subscript"/>
        <sz val="11"/>
        <color theme="1"/>
        <rFont val="Calibri"/>
        <family val="2"/>
      </rPr>
      <t>X1,actual</t>
    </r>
  </si>
  <si>
    <t>Enter value greater than 0</t>
  </si>
  <si>
    <t>Actual standard deviation at time point 1</t>
  </si>
  <si>
    <t>ADJUSTED INITIAL SAMPLE SIZE</t>
  </si>
  <si>
    <t>Indicator at individual or household level?</t>
  </si>
  <si>
    <t>Individual</t>
  </si>
  <si>
    <t>Household</t>
  </si>
  <si>
    <t>(1) Proportion of the population in the age group underlying the indicator</t>
  </si>
  <si>
    <t>Lambda</t>
  </si>
  <si>
    <r>
      <t>n</t>
    </r>
    <r>
      <rPr>
        <vertAlign val="subscript"/>
        <sz val="11"/>
        <rFont val="Calibri"/>
        <family val="2"/>
      </rPr>
      <t>adj_0</t>
    </r>
  </si>
  <si>
    <r>
      <t>n</t>
    </r>
    <r>
      <rPr>
        <vertAlign val="subscript"/>
        <sz val="11"/>
        <rFont val="Calibri"/>
        <family val="2"/>
      </rPr>
      <t>adj_1</t>
    </r>
  </si>
  <si>
    <t>Initial sample size adjusted for number of households to visit</t>
  </si>
  <si>
    <t>λ</t>
  </si>
  <si>
    <t>ADJUSTMENT 2</t>
  </si>
  <si>
    <t>Inflation of sample size to account for non-responding households</t>
  </si>
  <si>
    <r>
      <t>n</t>
    </r>
    <r>
      <rPr>
        <vertAlign val="subscript"/>
        <sz val="11"/>
        <color theme="1"/>
        <rFont val="Calibri"/>
        <family val="2"/>
        <scheme val="minor"/>
      </rPr>
      <t>final</t>
    </r>
  </si>
  <si>
    <r>
      <t>n</t>
    </r>
    <r>
      <rPr>
        <vertAlign val="subscript"/>
        <sz val="11"/>
        <rFont val="Calibri"/>
        <family val="2"/>
      </rPr>
      <t>initial</t>
    </r>
    <r>
      <rPr>
        <sz val="11"/>
        <rFont val="Calibri"/>
        <family val="2"/>
      </rPr>
      <t xml:space="preserve"> or n</t>
    </r>
    <r>
      <rPr>
        <vertAlign val="subscript"/>
        <sz val="11"/>
        <rFont val="Calibri"/>
        <family val="2"/>
      </rPr>
      <t>adj_1</t>
    </r>
  </si>
  <si>
    <t>Inflation of initial sample size to account for the number of households to visit</t>
  </si>
  <si>
    <r>
      <t>Initial sample size adjusted for number of households to visit (same as n</t>
    </r>
    <r>
      <rPr>
        <vertAlign val="subscript"/>
        <sz val="10"/>
        <rFont val="Arial"/>
        <family val="2"/>
      </rPr>
      <t>initial</t>
    </r>
    <r>
      <rPr>
        <sz val="10"/>
        <rFont val="Arial"/>
        <family val="2"/>
      </rPr>
      <t xml:space="preserve"> if household level indicator)</t>
    </r>
  </si>
  <si>
    <t>(2) Average household size</t>
  </si>
  <si>
    <t>If individual level indicator, enter:</t>
  </si>
  <si>
    <t>Enter value greater than or equal to 1 and less than or equal to 10</t>
  </si>
  <si>
    <t>Enter value greater than or equal to 0 and less than 100</t>
  </si>
  <si>
    <t>Final number of households to sample</t>
  </si>
  <si>
    <t>Enter value greater than 0 and less than or equal to 1</t>
  </si>
  <si>
    <t>Instructions</t>
  </si>
  <si>
    <t>Sample Size Calculator to Power Statistical Tests of Differences over Time for Indicators of Proportions</t>
  </si>
  <si>
    <t>Area to Store Sample Size Computation Results for Various Indicators and Input Parameters</t>
  </si>
  <si>
    <r>
      <t xml:space="preserve">Estimate of minimum </t>
    </r>
    <r>
      <rPr>
        <sz val="9"/>
        <rFont val="Calibri"/>
        <family val="2"/>
      </rPr>
      <t>(per individual or household in units of indicator)</t>
    </r>
  </si>
  <si>
    <r>
      <t xml:space="preserve">Enter value greater than or equal to 0; Value can not be greater than or equal to </t>
    </r>
    <r>
      <rPr>
        <i/>
        <sz val="10"/>
        <color theme="1"/>
        <rFont val="Calibri"/>
        <family val="2"/>
        <scheme val="minor"/>
      </rPr>
      <t>max</t>
    </r>
  </si>
  <si>
    <t>Sample Size Calculator to Power Statistical Tests of Differences over Time for Indicators of Means</t>
  </si>
  <si>
    <t>Sample Size Calculator to Ensure Adequate Precision for Estimates of Indicators of Proportions</t>
  </si>
  <si>
    <t>Sample Size Calculator to Ensure Adequate Precision for Estimates of Indicators of Means</t>
  </si>
  <si>
    <t>Adjusting Sample Size at the Second Time Point for Indicators of Proportions (Comparative Surveys only)</t>
  </si>
  <si>
    <t>Adjusting Sample Size at the Second Time Point for Indicators of Means (Comparative Surveys only)</t>
  </si>
  <si>
    <r>
      <t>D</t>
    </r>
    <r>
      <rPr>
        <i/>
        <vertAlign val="subscript"/>
        <sz val="11"/>
        <color theme="1"/>
        <rFont val="Calibri"/>
        <family val="2"/>
        <scheme val="minor"/>
      </rPr>
      <t>est</t>
    </r>
  </si>
  <si>
    <r>
      <t>D</t>
    </r>
    <r>
      <rPr>
        <i/>
        <vertAlign val="subscript"/>
        <sz val="11"/>
        <color theme="1"/>
        <rFont val="Calibri"/>
        <family val="2"/>
        <scheme val="minor"/>
      </rPr>
      <t>actual</t>
    </r>
  </si>
  <si>
    <r>
      <t>P</t>
    </r>
    <r>
      <rPr>
        <vertAlign val="subscript"/>
        <sz val="11"/>
        <color theme="1"/>
        <rFont val="Calibri"/>
        <family val="2"/>
        <scheme val="minor"/>
      </rPr>
      <t>2,target</t>
    </r>
  </si>
  <si>
    <r>
      <t>Adjusted initial sample size at time point 2 (</t>
    </r>
    <r>
      <rPr>
        <i/>
        <sz val="11"/>
        <color theme="1"/>
        <rFont val="Calibri"/>
        <family val="2"/>
        <scheme val="minor"/>
      </rPr>
      <t>K*n</t>
    </r>
    <r>
      <rPr>
        <i/>
        <vertAlign val="subscript"/>
        <sz val="11"/>
        <color theme="1"/>
        <rFont val="Calibri"/>
        <family val="2"/>
        <scheme val="minor"/>
      </rPr>
      <t>initial,actual</t>
    </r>
    <r>
      <rPr>
        <sz val="11"/>
        <color theme="1"/>
        <rFont val="Calibri"/>
        <family val="2"/>
        <scheme val="minor"/>
      </rPr>
      <t>)</t>
    </r>
  </si>
  <si>
    <r>
      <t>1-</t>
    </r>
    <r>
      <rPr>
        <i/>
        <sz val="11"/>
        <color theme="1"/>
        <rFont val="Calibri"/>
        <family val="2"/>
      </rPr>
      <t>α</t>
    </r>
  </si>
  <si>
    <r>
      <t>1-</t>
    </r>
    <r>
      <rPr>
        <i/>
        <sz val="11"/>
        <color theme="1"/>
        <rFont val="Calibri"/>
        <family val="2"/>
      </rPr>
      <t>β</t>
    </r>
  </si>
  <si>
    <r>
      <t>1-(</t>
    </r>
    <r>
      <rPr>
        <i/>
        <sz val="11"/>
        <color theme="1"/>
        <rFont val="Calibri"/>
        <family val="2"/>
      </rPr>
      <t>α/2)</t>
    </r>
  </si>
  <si>
    <t xml:space="preserve"> Sheet 1. "Comparative for Proportions"</t>
  </si>
  <si>
    <t xml:space="preserve"> Sheet 2. "Comparative for Means"</t>
  </si>
  <si>
    <t xml:space="preserve"> Sheet 3. "Descriptive for Proportions"</t>
  </si>
  <si>
    <t xml:space="preserve"> Sheet 4. "Descriptive for Means"</t>
  </si>
  <si>
    <t xml:space="preserve"> Sheet 5. "Comparative Proportions TopUp"</t>
  </si>
  <si>
    <t xml:space="preserve"> Sheet 6. "Comparative Means TopUp"</t>
  </si>
  <si>
    <t>There are six sheets to this Excel-based sample size calculator, allowing for sample size computations under different scenarios. These scenarios are summarized below:</t>
  </si>
  <si>
    <t>Anticipated household non-response rate (%)</t>
  </si>
  <si>
    <t xml:space="preserve">(Corresponding to Sections 2.2.1 [equation 1], 2.2.4 [equation 4], and 2.2.5 of Guide) </t>
  </si>
  <si>
    <t xml:space="preserve">(Corresponding to Sections 2.2.2 [equation 2], 2.2.4 [equation 4], and 2.2.5 of Guide) </t>
  </si>
  <si>
    <t xml:space="preserve">(Corresponding to Sections 2.3.1 [equation 8], 2.2.4 [equation 4], and 2.2.5 of Guide) </t>
  </si>
  <si>
    <t xml:space="preserve">(Corresponding to Sections 2.3.2 [equation 9], 2.2.4 [equation 4], and 2.2.5 of Guide) </t>
  </si>
  <si>
    <t xml:space="preserve">(Corresponding to Sections 2.2.7 [equation 6], 2.2.4 [equation 4], and 2.2.5 of Guide) </t>
  </si>
  <si>
    <t xml:space="preserve">(Corresponding to Sections 2.2.7 [equation 7], 2.2.4 [equation 4], and 2.2.5 of Guide) </t>
  </si>
  <si>
    <r>
      <t>In each of the sheets, for</t>
    </r>
    <r>
      <rPr>
        <i/>
        <sz val="11"/>
        <rFont val="Calibri"/>
        <family val="2"/>
        <scheme val="minor"/>
      </rPr>
      <t xml:space="preserve"> all cells highlighted in yellow, either fill in with approp</t>
    </r>
    <r>
      <rPr>
        <i/>
        <sz val="11"/>
        <color theme="1"/>
        <rFont val="Calibri"/>
        <family val="2"/>
        <scheme val="minor"/>
      </rPr>
      <t>riate values or select choices from the drop-down boxes provided, as per specific instruction provided next to the yellow highlighted area.</t>
    </r>
  </si>
  <si>
    <r>
      <t>Enter value greater than 0 and less than or equal to 1; value cannot be the same as P</t>
    </r>
    <r>
      <rPr>
        <vertAlign val="subscript"/>
        <sz val="10"/>
        <color theme="1"/>
        <rFont val="Calibri"/>
        <family val="2"/>
        <scheme val="minor"/>
      </rPr>
      <t>1,est</t>
    </r>
  </si>
  <si>
    <r>
      <t>Enter value greater than 0; value cannot be the same as X</t>
    </r>
    <r>
      <rPr>
        <vertAlign val="subscript"/>
        <sz val="10"/>
        <color theme="1"/>
        <rFont val="Calibri"/>
        <family val="2"/>
        <scheme val="minor"/>
      </rPr>
      <t>1,est</t>
    </r>
  </si>
  <si>
    <r>
      <t xml:space="preserve">Enter value greater than or equal to 0; value cannot be greater than or equal to </t>
    </r>
    <r>
      <rPr>
        <i/>
        <sz val="10"/>
        <color theme="1"/>
        <rFont val="Calibri"/>
        <family val="2"/>
        <scheme val="minor"/>
      </rPr>
      <t>max</t>
    </r>
  </si>
  <si>
    <r>
      <t>Enter value greater than 0 and less than or equal to 1; value cannot be the same as P</t>
    </r>
    <r>
      <rPr>
        <vertAlign val="subscript"/>
        <sz val="10"/>
        <color theme="1"/>
        <rFont val="Calibri"/>
        <family val="2"/>
        <scheme val="minor"/>
      </rPr>
      <t>1,actual</t>
    </r>
  </si>
  <si>
    <r>
      <t>Enter value greater than 0; value cannot be the same as X</t>
    </r>
    <r>
      <rPr>
        <vertAlign val="subscript"/>
        <sz val="10"/>
        <color theme="1"/>
        <rFont val="Calibri"/>
        <family val="2"/>
        <scheme val="minor"/>
      </rPr>
      <t>1,actual</t>
    </r>
  </si>
  <si>
    <t xml:space="preserve">This calculator is made possible by the generous support of the American people through the support of the </t>
  </si>
  <si>
    <t xml:space="preserve">Office of Health, Infectious Diseases, and Nutrition, Bureau for Global Health, U.S. Agency for International </t>
  </si>
  <si>
    <t xml:space="preserve">Development (USAID), USAID Bureau for Food Security, and USAID Office of Food for Peace, under terms of </t>
  </si>
  <si>
    <t xml:space="preserve">Cooperative Agreement No. AID-OAA-A-12-00005, through the Food and Nutrition Technical Assistance III </t>
  </si>
  <si>
    <t xml:space="preserve">Project (FANTA), managed by FHI 360. </t>
  </si>
  <si>
    <t>The contents are the responsibility of FHI 360 and do not necessarily reflect the views of USAID or the</t>
  </si>
  <si>
    <t>United States Government.</t>
  </si>
  <si>
    <t>Click on this hyperlink to visit sampling guide</t>
  </si>
  <si>
    <t>POPULATION-BASED SURVEY SAMPLE SIZE CALCULATOR:                                                                                                  COMPANION TO THE "FEED THE FUTURE POPULATION-BASED SAMPLING GUIDE"</t>
  </si>
  <si>
    <r>
      <rPr>
        <sz val="11"/>
        <rFont val="Calibri"/>
        <family val="2"/>
        <scheme val="minor"/>
      </rPr>
      <t xml:space="preserve">This Excel sample size calculator is designed to be used as a companion to the publication, "Feed the Future Population-Based Sampling Guide" (see hyperlink below). The calculator was developed by Diana Stukel, PhD, FANTA, and funded by USAID's Bureau for Food Security and Office of Food for Peace. </t>
    </r>
    <r>
      <rPr>
        <sz val="11"/>
        <color theme="1"/>
        <rFont val="Calibri"/>
        <family val="2"/>
        <scheme val="minor"/>
      </rPr>
      <t xml:space="preserve">It permits the calculation of sample sizes for population-based surveys that collect data for indicators that are estimates of proportions or means—such as the Global Food Security Strategy indicators: "Prevalence of Stunted Children Under 5 Years of Age" (a proportion) and "Average Daily Per Capita Expenditure" (a mean).  The calculator requires a number of input parameters, and produces both an initial sample size for a given indicator (for both individual and household level indicators), as well as the final sample size after adjusting for the number of households to sample (for individual level indicators only) and for household level non-response.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</si>
</sst>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
    <numFmt numFmtId="165" formatCode="0.0000"/>
  </numFmts>
  <fonts count="36" x14ac:knownFonts="1">
    <font>
      <sz val="11"/>
      <color theme="1"/>
      <name val="Calibri"/>
      <family val="2"/>
      <scheme val="minor"/>
    </font>
    <font>
      <b/>
      <sz val="11"/>
      <color theme="1"/>
      <name val="Calibri"/>
      <family val="2"/>
      <scheme val="minor"/>
    </font>
    <font>
      <vertAlign val="subscript"/>
      <sz val="11"/>
      <color theme="1"/>
      <name val="Calibri"/>
      <family val="2"/>
      <scheme val="minor"/>
    </font>
    <font>
      <sz val="10"/>
      <color theme="1"/>
      <name val="Calibri"/>
      <family val="2"/>
      <scheme val="minor"/>
    </font>
    <font>
      <sz val="11"/>
      <color theme="1"/>
      <name val="Calibri"/>
      <family val="2"/>
    </font>
    <font>
      <sz val="10"/>
      <color theme="1"/>
      <name val="Calibri"/>
      <family val="2"/>
    </font>
    <font>
      <vertAlign val="subscript"/>
      <sz val="11"/>
      <color theme="1"/>
      <name val="Calibri"/>
      <family val="2"/>
    </font>
    <font>
      <b/>
      <sz val="11"/>
      <color theme="1"/>
      <name val="Calibri"/>
      <family val="2"/>
    </font>
    <font>
      <b/>
      <vertAlign val="subscript"/>
      <sz val="11"/>
      <color theme="1"/>
      <name val="Calibri"/>
      <family val="2"/>
      <scheme val="minor"/>
    </font>
    <font>
      <b/>
      <vertAlign val="subscript"/>
      <sz val="11"/>
      <color theme="1"/>
      <name val="Calibri"/>
      <family val="2"/>
    </font>
    <font>
      <sz val="11"/>
      <color indexed="8"/>
      <name val="Calibri"/>
      <family val="2"/>
    </font>
    <font>
      <sz val="11"/>
      <name val="Calibri"/>
      <family val="2"/>
    </font>
    <font>
      <sz val="9"/>
      <name val="Calibri"/>
      <family val="2"/>
    </font>
    <font>
      <sz val="10"/>
      <name val="Calibri"/>
      <family val="2"/>
    </font>
    <font>
      <b/>
      <sz val="11"/>
      <name val="Calibri"/>
      <family val="2"/>
    </font>
    <font>
      <sz val="10"/>
      <name val="Arial"/>
      <family val="2"/>
    </font>
    <font>
      <b/>
      <sz val="11"/>
      <name val="Calibri"/>
      <family val="2"/>
      <scheme val="minor"/>
    </font>
    <font>
      <sz val="11"/>
      <name val="Calibri"/>
      <family val="2"/>
      <scheme val="minor"/>
    </font>
    <font>
      <vertAlign val="subscript"/>
      <sz val="11"/>
      <name val="Calibri"/>
      <family val="2"/>
    </font>
    <font>
      <sz val="18"/>
      <name val="Arial"/>
      <family val="2"/>
    </font>
    <font>
      <vertAlign val="subscript"/>
      <sz val="10"/>
      <name val="Arial"/>
      <family val="2"/>
    </font>
    <font>
      <b/>
      <sz val="16"/>
      <color theme="1"/>
      <name val="Calibri"/>
      <family val="2"/>
      <scheme val="minor"/>
    </font>
    <font>
      <u/>
      <sz val="11"/>
      <color theme="10"/>
      <name val="Calibri"/>
      <family val="2"/>
      <scheme val="minor"/>
    </font>
    <font>
      <i/>
      <sz val="11"/>
      <color theme="1"/>
      <name val="Calibri"/>
      <family val="2"/>
      <scheme val="minor"/>
    </font>
    <font>
      <i/>
      <sz val="11"/>
      <name val="Calibri"/>
      <family val="2"/>
      <scheme val="minor"/>
    </font>
    <font>
      <sz val="9"/>
      <color theme="1"/>
      <name val="Calibri"/>
      <family val="2"/>
      <scheme val="minor"/>
    </font>
    <font>
      <sz val="23"/>
      <color rgb="FF212121"/>
      <name val="Calibri Light"/>
      <family val="2"/>
    </font>
    <font>
      <sz val="11"/>
      <color rgb="FFFF0000"/>
      <name val="Calibri"/>
      <family val="2"/>
      <scheme val="minor"/>
    </font>
    <font>
      <vertAlign val="subscript"/>
      <sz val="10"/>
      <color theme="1"/>
      <name val="Calibri"/>
      <family val="2"/>
      <scheme val="minor"/>
    </font>
    <font>
      <i/>
      <sz val="10"/>
      <color theme="1"/>
      <name val="Calibri"/>
      <family val="2"/>
      <scheme val="minor"/>
    </font>
    <font>
      <b/>
      <sz val="13"/>
      <color theme="9" tint="-0.249977111117893"/>
      <name val="Calibri"/>
      <family val="2"/>
      <scheme val="minor"/>
    </font>
    <font>
      <i/>
      <sz val="10"/>
      <name val="Calibri"/>
      <family val="2"/>
    </font>
    <font>
      <i/>
      <vertAlign val="subscript"/>
      <sz val="11"/>
      <color theme="1"/>
      <name val="Calibri"/>
      <family val="2"/>
      <scheme val="minor"/>
    </font>
    <font>
      <i/>
      <sz val="11"/>
      <color theme="1"/>
      <name val="Calibri"/>
      <family val="2"/>
    </font>
    <font>
      <b/>
      <sz val="13"/>
      <color rgb="FF4799B5"/>
      <name val="Calibri"/>
      <family val="2"/>
      <scheme val="minor"/>
    </font>
    <font>
      <sz val="11"/>
      <color rgb="FF4799B5"/>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10" fillId="0" borderId="0"/>
    <xf numFmtId="0" fontId="22" fillId="0" borderId="0" applyNumberFormat="0" applyFill="0" applyBorder="0" applyAlignment="0" applyProtection="0"/>
  </cellStyleXfs>
  <cellXfs count="123">
    <xf numFmtId="0" fontId="0" fillId="0" borderId="0" xfId="0"/>
    <xf numFmtId="0" fontId="1" fillId="0" borderId="0" xfId="0" applyFont="1"/>
    <xf numFmtId="0" fontId="0" fillId="0" borderId="0" xfId="0" applyAlignment="1">
      <alignment horizontal="center"/>
    </xf>
    <xf numFmtId="0" fontId="5" fillId="0" borderId="0" xfId="0" applyFont="1" applyBorder="1" applyAlignment="1">
      <alignment horizontal="center" vertical="center" wrapText="1"/>
    </xf>
    <xf numFmtId="0" fontId="1" fillId="0" borderId="0" xfId="0" applyFont="1" applyAlignment="1">
      <alignment horizontal="center"/>
    </xf>
    <xf numFmtId="0" fontId="0" fillId="0" borderId="0" xfId="0" applyFont="1" applyAlignment="1">
      <alignment horizontal="center"/>
    </xf>
    <xf numFmtId="0" fontId="11" fillId="4" borderId="0" xfId="1" applyFont="1" applyFill="1" applyBorder="1" applyAlignment="1">
      <alignment horizontal="left" vertical="center" indent="2"/>
    </xf>
    <xf numFmtId="0" fontId="11" fillId="4" borderId="0" xfId="1" applyFont="1" applyFill="1" applyBorder="1" applyAlignment="1">
      <alignment horizontal="left" vertical="center" wrapText="1" indent="4"/>
    </xf>
    <xf numFmtId="0" fontId="7" fillId="0" borderId="0" xfId="0" applyFont="1" applyAlignment="1">
      <alignment horizontal="center"/>
    </xf>
    <xf numFmtId="0" fontId="14" fillId="4" borderId="0" xfId="1" applyFont="1" applyFill="1" applyBorder="1" applyAlignment="1">
      <alignment horizontal="left" vertical="center"/>
    </xf>
    <xf numFmtId="164" fontId="0" fillId="0" borderId="0" xfId="0" applyNumberFormat="1"/>
    <xf numFmtId="165" fontId="0" fillId="0" borderId="0" xfId="0" applyNumberFormat="1"/>
    <xf numFmtId="3" fontId="0" fillId="0" borderId="0" xfId="0" applyNumberFormat="1"/>
    <xf numFmtId="0" fontId="0" fillId="0" borderId="0" xfId="0" applyBorder="1"/>
    <xf numFmtId="0" fontId="15" fillId="0" borderId="0" xfId="0" applyFont="1" applyBorder="1"/>
    <xf numFmtId="0" fontId="16" fillId="0" borderId="0" xfId="0" applyFont="1" applyBorder="1" applyAlignment="1">
      <alignment wrapText="1"/>
    </xf>
    <xf numFmtId="0" fontId="17" fillId="0" borderId="0" xfId="0" applyFont="1" applyBorder="1" applyAlignment="1">
      <alignment wrapText="1"/>
    </xf>
    <xf numFmtId="0" fontId="11" fillId="4" borderId="0" xfId="1" applyFont="1" applyFill="1" applyBorder="1" applyAlignment="1">
      <alignment horizontal="left" vertical="center" wrapText="1" indent="2"/>
    </xf>
    <xf numFmtId="0" fontId="0" fillId="0" borderId="0" xfId="0" applyAlignment="1">
      <alignment horizontal="right"/>
    </xf>
    <xf numFmtId="2" fontId="0" fillId="0" borderId="0" xfId="0" applyNumberForma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15" fillId="3" borderId="0" xfId="0" applyFont="1" applyFill="1" applyBorder="1"/>
    <xf numFmtId="3" fontId="0" fillId="3" borderId="0" xfId="0" applyNumberFormat="1" applyFill="1" applyBorder="1" applyAlignment="1">
      <alignment horizontal="center"/>
    </xf>
    <xf numFmtId="0" fontId="15" fillId="3" borderId="0" xfId="0" applyFont="1" applyFill="1" applyBorder="1" applyAlignment="1">
      <alignment wrapText="1"/>
    </xf>
    <xf numFmtId="0" fontId="19" fillId="0" borderId="0" xfId="0" applyFont="1" applyBorder="1"/>
    <xf numFmtId="1" fontId="15" fillId="4" borderId="0" xfId="0" applyNumberFormat="1" applyFont="1" applyFill="1" applyBorder="1"/>
    <xf numFmtId="3" fontId="15" fillId="3" borderId="0" xfId="0" applyNumberFormat="1" applyFont="1" applyFill="1" applyBorder="1" applyAlignment="1">
      <alignment horizontal="center"/>
    </xf>
    <xf numFmtId="0" fontId="11" fillId="3" borderId="0" xfId="1" applyFont="1" applyFill="1" applyBorder="1" applyAlignment="1">
      <alignment horizontal="left" vertical="center" wrapText="1" indent="2"/>
    </xf>
    <xf numFmtId="0" fontId="0" fillId="3" borderId="0" xfId="0" applyFill="1" applyBorder="1" applyAlignment="1">
      <alignment horizontal="center"/>
    </xf>
    <xf numFmtId="0" fontId="0" fillId="0" borderId="0" xfId="0" applyFill="1" applyBorder="1"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1" fillId="0" borderId="4" xfId="0" applyFont="1" applyBorder="1"/>
    <xf numFmtId="0" fontId="1" fillId="0" borderId="0" xfId="0" applyFont="1" applyBorder="1"/>
    <xf numFmtId="0" fontId="3" fillId="0" borderId="5" xfId="0" applyFont="1" applyBorder="1" applyAlignment="1">
      <alignment wrapText="1"/>
    </xf>
    <xf numFmtId="0" fontId="27" fillId="0" borderId="0" xfId="0" applyFont="1" applyBorder="1" applyAlignment="1">
      <alignment horizontal="center" wrapText="1"/>
    </xf>
    <xf numFmtId="0" fontId="3" fillId="0" borderId="5" xfId="0" applyFont="1" applyBorder="1"/>
    <xf numFmtId="0" fontId="0" fillId="0" borderId="0" xfId="0" applyFont="1" applyBorder="1" applyAlignment="1">
      <alignment horizontal="center"/>
    </xf>
    <xf numFmtId="0" fontId="0" fillId="3" borderId="0" xfId="0" applyFill="1" applyBorder="1"/>
    <xf numFmtId="0" fontId="17" fillId="0" borderId="5" xfId="0" applyFont="1" applyBorder="1" applyAlignment="1">
      <alignment wrapText="1"/>
    </xf>
    <xf numFmtId="0" fontId="0" fillId="0" borderId="0" xfId="0" applyBorder="1" applyAlignment="1">
      <alignment wrapText="1"/>
    </xf>
    <xf numFmtId="0" fontId="4" fillId="0" borderId="0" xfId="0" applyFont="1" applyBorder="1" applyAlignment="1">
      <alignment horizontal="center"/>
    </xf>
    <xf numFmtId="0" fontId="19" fillId="0" borderId="5" xfId="0" applyFont="1" applyBorder="1"/>
    <xf numFmtId="3" fontId="0" fillId="4" borderId="5" xfId="0" applyNumberFormat="1" applyFill="1" applyBorder="1"/>
    <xf numFmtId="0" fontId="0" fillId="0" borderId="6" xfId="0" applyBorder="1"/>
    <xf numFmtId="0" fontId="0" fillId="0" borderId="7" xfId="0" applyBorder="1"/>
    <xf numFmtId="0" fontId="0" fillId="0" borderId="8" xfId="0" applyBorder="1"/>
    <xf numFmtId="0" fontId="1" fillId="0" borderId="1" xfId="0" applyFont="1" applyBorder="1"/>
    <xf numFmtId="0" fontId="0" fillId="0" borderId="2" xfId="0" applyBorder="1" applyAlignment="1">
      <alignment horizontal="center"/>
    </xf>
    <xf numFmtId="0" fontId="1" fillId="0" borderId="2" xfId="0" applyFont="1" applyBorder="1"/>
    <xf numFmtId="0" fontId="3" fillId="0" borderId="3" xfId="0" applyFont="1" applyBorder="1" applyAlignment="1">
      <alignment wrapText="1"/>
    </xf>
    <xf numFmtId="0" fontId="0" fillId="0" borderId="7" xfId="0" applyBorder="1" applyAlignment="1">
      <alignment horizontal="center"/>
    </xf>
    <xf numFmtId="0" fontId="16" fillId="0" borderId="2" xfId="0" applyFont="1" applyBorder="1" applyAlignment="1">
      <alignment wrapText="1"/>
    </xf>
    <xf numFmtId="0" fontId="17" fillId="0" borderId="2" xfId="0" applyFont="1" applyBorder="1" applyAlignment="1">
      <alignment wrapText="1"/>
    </xf>
    <xf numFmtId="0" fontId="17" fillId="0" borderId="3" xfId="0" applyFont="1" applyBorder="1" applyAlignment="1">
      <alignment wrapText="1"/>
    </xf>
    <xf numFmtId="0" fontId="27" fillId="0" borderId="0" xfId="0" applyFont="1" applyBorder="1" applyAlignment="1">
      <alignment wrapText="1"/>
    </xf>
    <xf numFmtId="0" fontId="0" fillId="0" borderId="10" xfId="0" applyBorder="1"/>
    <xf numFmtId="0" fontId="0" fillId="0" borderId="11" xfId="0" applyBorder="1"/>
    <xf numFmtId="0" fontId="0" fillId="0" borderId="12" xfId="0" applyBorder="1"/>
    <xf numFmtId="0" fontId="0" fillId="0" borderId="7" xfId="0" applyBorder="1" applyAlignment="1">
      <alignment horizontal="center"/>
    </xf>
    <xf numFmtId="0" fontId="3" fillId="0" borderId="5" xfId="0" applyFont="1" applyBorder="1" applyAlignment="1">
      <alignment horizontal="left" wrapText="1"/>
    </xf>
    <xf numFmtId="0" fontId="4" fillId="0" borderId="4" xfId="0" applyFont="1" applyBorder="1"/>
    <xf numFmtId="0" fontId="19" fillId="0" borderId="2" xfId="0" applyFont="1" applyBorder="1"/>
    <xf numFmtId="0" fontId="19" fillId="0" borderId="3" xfId="0" applyFont="1" applyBorder="1"/>
    <xf numFmtId="2" fontId="0" fillId="0" borderId="0" xfId="0" applyNumberFormat="1" applyFill="1" applyBorder="1" applyAlignment="1">
      <alignment horizontal="center"/>
    </xf>
    <xf numFmtId="0" fontId="0" fillId="0" borderId="7" xfId="0" applyFill="1" applyBorder="1" applyAlignment="1">
      <alignment horizontal="center"/>
    </xf>
    <xf numFmtId="0" fontId="1" fillId="0" borderId="1" xfId="0" applyFont="1" applyBorder="1" applyAlignment="1">
      <alignment wrapText="1"/>
    </xf>
    <xf numFmtId="0" fontId="0" fillId="0" borderId="2" xfId="0" applyFill="1" applyBorder="1" applyAlignment="1">
      <alignment horizontal="center"/>
    </xf>
    <xf numFmtId="0" fontId="1" fillId="0" borderId="2" xfId="0" applyFont="1" applyFill="1" applyBorder="1"/>
    <xf numFmtId="0" fontId="3" fillId="0" borderId="3" xfId="0" applyFont="1" applyBorder="1" applyAlignment="1">
      <alignment horizontal="left" wrapText="1"/>
    </xf>
    <xf numFmtId="0" fontId="31" fillId="4" borderId="0" xfId="1" applyFont="1" applyFill="1" applyBorder="1" applyAlignment="1">
      <alignment horizontal="center" vertical="center"/>
    </xf>
    <xf numFmtId="0" fontId="23" fillId="0" borderId="0" xfId="0" applyFont="1" applyBorder="1" applyAlignment="1">
      <alignment horizontal="center"/>
    </xf>
    <xf numFmtId="0" fontId="33" fillId="0" borderId="0" xfId="0" applyFont="1" applyBorder="1" applyAlignment="1">
      <alignment horizontal="center"/>
    </xf>
    <xf numFmtId="0" fontId="34" fillId="0" borderId="4" xfId="0" applyFont="1" applyBorder="1" applyAlignment="1">
      <alignment horizontal="left" vertical="center" indent="5"/>
    </xf>
    <xf numFmtId="0" fontId="35" fillId="0" borderId="0" xfId="0" applyFont="1"/>
    <xf numFmtId="0" fontId="0" fillId="4" borderId="0" xfId="0" applyFill="1"/>
    <xf numFmtId="0" fontId="21" fillId="4" borderId="18" xfId="0" applyFont="1" applyFill="1" applyBorder="1" applyAlignment="1">
      <alignment horizontal="center" wrapText="1"/>
    </xf>
    <xf numFmtId="0" fontId="0" fillId="4" borderId="19" xfId="0" applyFont="1" applyFill="1" applyBorder="1" applyAlignment="1">
      <alignment horizontal="left" wrapText="1"/>
    </xf>
    <xf numFmtId="0" fontId="0" fillId="4" borderId="19" xfId="0" applyFill="1" applyBorder="1"/>
    <xf numFmtId="0" fontId="22" fillId="4" borderId="19" xfId="2" applyFill="1" applyBorder="1" applyAlignment="1" applyProtection="1">
      <alignment horizontal="center"/>
      <protection locked="0"/>
    </xf>
    <xf numFmtId="0" fontId="0" fillId="4" borderId="0" xfId="0" applyFill="1" applyBorder="1"/>
    <xf numFmtId="0" fontId="34" fillId="4" borderId="19" xfId="0" applyFont="1" applyFill="1" applyBorder="1" applyAlignment="1">
      <alignment horizontal="left" vertical="center" indent="5"/>
    </xf>
    <xf numFmtId="0" fontId="0" fillId="4" borderId="19" xfId="0" applyFill="1" applyBorder="1" applyAlignment="1">
      <alignment horizontal="left" indent="10"/>
    </xf>
    <xf numFmtId="0" fontId="0" fillId="4" borderId="0" xfId="0" applyFill="1" applyBorder="1" applyAlignment="1">
      <alignment horizontal="left" indent="10"/>
    </xf>
    <xf numFmtId="0" fontId="0" fillId="4" borderId="19" xfId="0" applyFill="1" applyBorder="1" applyAlignment="1">
      <alignment horizontal="left"/>
    </xf>
    <xf numFmtId="0" fontId="0" fillId="4" borderId="0" xfId="0" applyFill="1" applyBorder="1" applyAlignment="1">
      <alignment horizontal="left"/>
    </xf>
    <xf numFmtId="0" fontId="30" fillId="4" borderId="0" xfId="0" applyFont="1" applyFill="1" applyBorder="1" applyAlignment="1">
      <alignment horizontal="left" vertical="center" indent="5"/>
    </xf>
    <xf numFmtId="0" fontId="34" fillId="4" borderId="19" xfId="0" applyFont="1" applyFill="1" applyBorder="1" applyAlignment="1">
      <alignment horizontal="left" indent="5"/>
    </xf>
    <xf numFmtId="0" fontId="30" fillId="4" borderId="0" xfId="0" applyFont="1" applyFill="1" applyBorder="1" applyAlignment="1">
      <alignment horizontal="left" indent="5"/>
    </xf>
    <xf numFmtId="0" fontId="21" fillId="4" borderId="19" xfId="0" applyFont="1" applyFill="1" applyBorder="1"/>
    <xf numFmtId="0" fontId="23" fillId="4" borderId="20" xfId="0" applyFont="1" applyFill="1" applyBorder="1" applyAlignment="1">
      <alignment vertical="center" wrapText="1"/>
    </xf>
    <xf numFmtId="0" fontId="0" fillId="4" borderId="0" xfId="0" applyFont="1" applyFill="1" applyAlignment="1">
      <alignment wrapText="1"/>
    </xf>
    <xf numFmtId="0" fontId="26" fillId="4" borderId="21" xfId="0" applyFont="1" applyFill="1" applyBorder="1" applyAlignment="1">
      <alignment vertical="center"/>
    </xf>
    <xf numFmtId="0" fontId="22" fillId="0" borderId="19" xfId="2" applyBorder="1"/>
    <xf numFmtId="0" fontId="0" fillId="2" borderId="2" xfId="0" applyFill="1" applyBorder="1" applyAlignment="1" applyProtection="1">
      <alignment horizontal="center"/>
      <protection locked="0"/>
    </xf>
    <xf numFmtId="0" fontId="0" fillId="2" borderId="0" xfId="0" applyFill="1" applyBorder="1" applyAlignment="1" applyProtection="1">
      <alignment horizontal="center"/>
      <protection locked="0"/>
    </xf>
    <xf numFmtId="0" fontId="15" fillId="2" borderId="0" xfId="0" applyFont="1" applyFill="1" applyBorder="1" applyAlignment="1" applyProtection="1">
      <alignment horizontal="center"/>
      <protection locked="0"/>
    </xf>
    <xf numFmtId="2" fontId="0" fillId="2" borderId="0" xfId="0" applyNumberFormat="1" applyFill="1" applyBorder="1" applyAlignment="1" applyProtection="1">
      <alignment horizontal="center"/>
      <protection locked="0"/>
    </xf>
    <xf numFmtId="3" fontId="0" fillId="2" borderId="2" xfId="0" applyNumberFormat="1" applyFill="1" applyBorder="1" applyAlignment="1" applyProtection="1">
      <alignment horizontal="center"/>
      <protection locked="0"/>
    </xf>
    <xf numFmtId="0" fontId="0" fillId="0" borderId="13" xfId="0" applyBorder="1" applyProtection="1">
      <protection locked="0"/>
    </xf>
    <xf numFmtId="0" fontId="0" fillId="0" borderId="9" xfId="0" applyBorder="1" applyProtection="1">
      <protection locked="0"/>
    </xf>
    <xf numFmtId="0" fontId="0" fillId="0" borderId="14" xfId="0" applyBorder="1" applyProtection="1">
      <protection locked="0"/>
    </xf>
    <xf numFmtId="0" fontId="0" fillId="0" borderId="15" xfId="0" applyBorder="1" applyProtection="1">
      <protection locked="0"/>
    </xf>
    <xf numFmtId="0" fontId="0" fillId="0" borderId="16" xfId="0" applyBorder="1" applyProtection="1">
      <protection locked="0"/>
    </xf>
    <xf numFmtId="0" fontId="0" fillId="0" borderId="17" xfId="0" applyBorder="1" applyProtection="1">
      <protection locked="0"/>
    </xf>
    <xf numFmtId="0" fontId="0" fillId="0" borderId="10" xfId="0" applyBorder="1" applyProtection="1">
      <protection locked="0"/>
    </xf>
    <xf numFmtId="0" fontId="0" fillId="0" borderId="11" xfId="0" applyBorder="1" applyProtection="1">
      <protection locked="0"/>
    </xf>
    <xf numFmtId="0" fontId="0" fillId="0" borderId="12" xfId="0" applyBorder="1" applyProtection="1">
      <protection locked="0"/>
    </xf>
    <xf numFmtId="0" fontId="1" fillId="0" borderId="1" xfId="0" applyFont="1" applyBorder="1" applyAlignment="1">
      <alignment horizontal="center" wrapText="1"/>
    </xf>
    <xf numFmtId="0" fontId="1" fillId="0" borderId="2" xfId="0" applyFont="1" applyBorder="1" applyAlignment="1">
      <alignment horizontal="center" wrapText="1"/>
    </xf>
    <xf numFmtId="0" fontId="1" fillId="0" borderId="3" xfId="0" applyFont="1" applyBorder="1" applyAlignment="1">
      <alignment horizontal="center"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25" fillId="0" borderId="0" xfId="0" applyFont="1" applyAlignment="1">
      <alignment wrapText="1"/>
    </xf>
    <xf numFmtId="0" fontId="0" fillId="0" borderId="0" xfId="0" applyAlignment="1"/>
    <xf numFmtId="0" fontId="34" fillId="0" borderId="4" xfId="0" applyFont="1" applyBorder="1" applyAlignment="1">
      <alignment horizontal="center"/>
    </xf>
    <xf numFmtId="0" fontId="34" fillId="0" borderId="0" xfId="0" applyFont="1" applyAlignment="1">
      <alignment horizontal="center"/>
    </xf>
    <xf numFmtId="0" fontId="34" fillId="0" borderId="5" xfId="0" applyFont="1" applyBorder="1" applyAlignment="1">
      <alignment horizontal="center"/>
    </xf>
  </cellXfs>
  <cellStyles count="3">
    <cellStyle name="Hyperlink" xfId="2" builtinId="8"/>
    <cellStyle name="Normal" xfId="0" builtinId="0"/>
    <cellStyle name="Normal_School Vouchers sampling options + resource tool v1" xfId="1"/>
  </cellStyles>
  <dxfs count="47">
    <dxf>
      <numFmt numFmtId="166" formatCode=";;;"/>
    </dxf>
    <dxf>
      <numFmt numFmtId="166" formatCode=";;;"/>
    </dxf>
    <dxf>
      <numFmt numFmtId="166" formatCode=";;;"/>
    </dxf>
    <dxf>
      <numFmt numFmtId="166" formatCode=";;;"/>
    </dxf>
    <dxf>
      <numFmt numFmtId="166" formatCode=";;;"/>
    </dxf>
    <dxf>
      <numFmt numFmtId="166" formatCode=";;;"/>
      <fill>
        <patternFill patternType="none">
          <bgColor auto="1"/>
        </patternFill>
      </fill>
    </dxf>
    <dxf>
      <numFmt numFmtId="166" formatCode=";;;"/>
      <fill>
        <patternFill patternType="none">
          <bgColor auto="1"/>
        </patternFill>
      </fill>
    </dxf>
    <dxf>
      <numFmt numFmtId="166" formatCode=";;;"/>
    </dxf>
    <dxf>
      <numFmt numFmtId="166" formatCode=";;;"/>
    </dxf>
    <dxf>
      <numFmt numFmtId="166" formatCode=";;;"/>
    </dxf>
    <dxf>
      <numFmt numFmtId="166" formatCode=";;;"/>
    </dxf>
    <dxf>
      <numFmt numFmtId="166" formatCode=";;;"/>
    </dxf>
    <dxf>
      <numFmt numFmtId="166" formatCode=";;;"/>
      <fill>
        <patternFill patternType="none">
          <bgColor auto="1"/>
        </patternFill>
      </fill>
    </dxf>
    <dxf>
      <numFmt numFmtId="166" formatCode=";;;"/>
      <fill>
        <patternFill patternType="none">
          <bgColor auto="1"/>
        </patternFill>
      </fill>
    </dxf>
    <dxf>
      <numFmt numFmtId="166" formatCode=";;;"/>
    </dxf>
    <dxf>
      <numFmt numFmtId="166" formatCode=";;;"/>
    </dxf>
    <dxf>
      <numFmt numFmtId="166" formatCode=";;;"/>
    </dxf>
    <dxf>
      <numFmt numFmtId="166" formatCode=";;;"/>
    </dxf>
    <dxf>
      <numFmt numFmtId="166" formatCode=";;;"/>
    </dxf>
    <dxf>
      <numFmt numFmtId="166" formatCode=";;;"/>
    </dxf>
    <dxf>
      <numFmt numFmtId="166" formatCode=";;;"/>
      <fill>
        <patternFill patternType="none">
          <bgColor auto="1"/>
        </patternFill>
      </fill>
    </dxf>
    <dxf>
      <numFmt numFmtId="166" formatCode=";;;"/>
      <fill>
        <patternFill patternType="none">
          <bgColor auto="1"/>
        </patternFill>
      </fill>
    </dxf>
    <dxf>
      <numFmt numFmtId="166" formatCode=";;;"/>
      <fill>
        <patternFill patternType="none">
          <bgColor auto="1"/>
        </patternFill>
      </fill>
    </dxf>
    <dxf>
      <numFmt numFmtId="166" formatCode=";;;"/>
      <fill>
        <patternFill patternType="none">
          <bgColor auto="1"/>
        </patternFill>
      </fill>
    </dxf>
    <dxf>
      <numFmt numFmtId="166" formatCode=";;;"/>
      <fill>
        <patternFill patternType="none">
          <bgColor auto="1"/>
        </patternFill>
      </fill>
    </dxf>
    <dxf>
      <numFmt numFmtId="166" formatCode=";;;"/>
    </dxf>
    <dxf>
      <numFmt numFmtId="166" formatCode=";;;"/>
    </dxf>
    <dxf>
      <numFmt numFmtId="166" formatCode=";;;"/>
    </dxf>
    <dxf>
      <numFmt numFmtId="166" formatCode=";;;"/>
      <fill>
        <patternFill patternType="none">
          <bgColor auto="1"/>
        </patternFill>
      </fill>
    </dxf>
    <dxf>
      <numFmt numFmtId="166" formatCode=";;;"/>
      <fill>
        <patternFill patternType="none">
          <bgColor auto="1"/>
        </patternFill>
      </fill>
    </dxf>
    <dxf>
      <numFmt numFmtId="166" formatCode=";;;"/>
    </dxf>
    <dxf>
      <numFmt numFmtId="166" formatCode=";;;"/>
    </dxf>
    <dxf>
      <numFmt numFmtId="166" formatCode=";;;"/>
    </dxf>
    <dxf>
      <numFmt numFmtId="166" formatCode=";;;"/>
      <fill>
        <patternFill patternType="none">
          <bgColor auto="1"/>
        </patternFill>
      </fill>
    </dxf>
    <dxf>
      <numFmt numFmtId="166" formatCode=";;;"/>
      <fill>
        <patternFill patternType="none">
          <bgColor auto="1"/>
        </patternFill>
      </fill>
    </dxf>
    <dxf>
      <numFmt numFmtId="166" formatCode=";;;"/>
    </dxf>
    <dxf>
      <numFmt numFmtId="166" formatCode=";;;"/>
    </dxf>
    <dxf>
      <numFmt numFmtId="166" formatCode=";;;"/>
    </dxf>
    <dxf>
      <numFmt numFmtId="166" formatCode=";;;"/>
    </dxf>
    <dxf>
      <numFmt numFmtId="166" formatCode=";;;"/>
      <fill>
        <patternFill patternType="none">
          <bgColor auto="1"/>
        </patternFill>
      </fill>
    </dxf>
    <dxf>
      <numFmt numFmtId="166" formatCode=";;;"/>
      <fill>
        <patternFill patternType="none">
          <bgColor auto="1"/>
        </patternFill>
      </fill>
    </dxf>
    <dxf>
      <numFmt numFmtId="166" formatCode=";;;"/>
      <fill>
        <patternFill patternType="none">
          <bgColor auto="1"/>
        </patternFill>
      </fill>
    </dxf>
    <dxf>
      <numFmt numFmtId="166" formatCode=";;;"/>
    </dxf>
    <dxf>
      <numFmt numFmtId="166" formatCode=";;;"/>
    </dxf>
    <dxf>
      <numFmt numFmtId="166" formatCode=";;;"/>
    </dxf>
    <dxf>
      <numFmt numFmtId="166" formatCode=";;;"/>
      <fill>
        <patternFill patternType="none">
          <bgColor auto="1"/>
        </patternFill>
      </fill>
    </dxf>
    <dxf>
      <numFmt numFmtId="166" formatCode=";;;"/>
      <fill>
        <patternFill patternType="none">
          <bgColor auto="1"/>
        </patternFill>
      </fill>
    </dxf>
  </dxfs>
  <tableStyles count="0" defaultTableStyle="TableStyleMedium2" defaultPivotStyle="PivotStyleLight16"/>
  <colors>
    <mruColors>
      <color rgb="FF4799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3467100</xdr:colOff>
      <xdr:row>0</xdr:row>
      <xdr:rowOff>845106</xdr:rowOff>
    </xdr:to>
    <xdr:pic>
      <xdr:nvPicPr>
        <xdr:cNvPr id="3" name="Picture 2" descr="Feed the Future logo" title="Feed the Future logo">
          <a:extLst>
            <a:ext uri="{FF2B5EF4-FFF2-40B4-BE49-F238E27FC236}">
              <a16:creationId xmlns:a16="http://schemas.microsoft.com/office/drawing/2014/main" id="{BCCB3A4C-2AE7-4AEB-8BD1-3533CFB07F5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19755"/>
        <a:stretch/>
      </xdr:blipFill>
      <xdr:spPr>
        <a:xfrm>
          <a:off x="0" y="0"/>
          <a:ext cx="4076700" cy="845106"/>
        </a:xfrm>
        <a:prstGeom prst="rect">
          <a:avLst/>
        </a:prstGeom>
      </xdr:spPr>
    </xdr:pic>
    <xdr:clientData/>
  </xdr:twoCellAnchor>
  <xdr:twoCellAnchor editAs="oneCell">
    <xdr:from>
      <xdr:col>1</xdr:col>
      <xdr:colOff>9525</xdr:colOff>
      <xdr:row>31</xdr:row>
      <xdr:rowOff>28575</xdr:rowOff>
    </xdr:from>
    <xdr:to>
      <xdr:col>1</xdr:col>
      <xdr:colOff>5692527</xdr:colOff>
      <xdr:row>35</xdr:row>
      <xdr:rowOff>46931</xdr:rowOff>
    </xdr:to>
    <xdr:pic>
      <xdr:nvPicPr>
        <xdr:cNvPr id="4" name="Picture 3" descr="USAID, FANTA, and FHI 360 logos" title="USAID, FANTA, and FHI 360 logos">
          <a:extLst>
            <a:ext uri="{FF2B5EF4-FFF2-40B4-BE49-F238E27FC236}">
              <a16:creationId xmlns:a16="http://schemas.microsoft.com/office/drawing/2014/main" id="{2ED1E7F0-1802-4EB5-B294-1005D3990643}"/>
            </a:ext>
          </a:extLst>
        </xdr:cNvPr>
        <xdr:cNvPicPr>
          <a:picLocks noChangeAspect="1"/>
        </xdr:cNvPicPr>
      </xdr:nvPicPr>
      <xdr:blipFill rotWithShape="1">
        <a:blip xmlns:r="http://schemas.openxmlformats.org/officeDocument/2006/relationships" r:embed="rId2"/>
        <a:srcRect l="35889"/>
        <a:stretch/>
      </xdr:blipFill>
      <xdr:spPr>
        <a:xfrm>
          <a:off x="619125" y="9096375"/>
          <a:ext cx="5683002" cy="7803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219075</xdr:colOff>
      <xdr:row>5</xdr:row>
      <xdr:rowOff>352425</xdr:rowOff>
    </xdr:from>
    <xdr:to>
      <xdr:col>2</xdr:col>
      <xdr:colOff>533399</xdr:colOff>
      <xdr:row>5</xdr:row>
      <xdr:rowOff>522330</xdr:rowOff>
    </xdr:to>
    <xdr:pic>
      <xdr:nvPicPr>
        <xdr:cNvPr id="7" name="Picture 6">
          <a:extLst>
            <a:ext uri="{FF2B5EF4-FFF2-40B4-BE49-F238E27FC236}">
              <a16:creationId xmlns:a16="http://schemas.microsoft.com/office/drawing/2014/main" id="{F8BC87A9-713F-4E02-9A64-E87248948E75}"/>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24075" y="1390650"/>
          <a:ext cx="314324" cy="1699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200026</xdr:colOff>
      <xdr:row>7</xdr:row>
      <xdr:rowOff>314325</xdr:rowOff>
    </xdr:from>
    <xdr:to>
      <xdr:col>2</xdr:col>
      <xdr:colOff>542926</xdr:colOff>
      <xdr:row>7</xdr:row>
      <xdr:rowOff>499676</xdr:rowOff>
    </xdr:to>
    <xdr:pic>
      <xdr:nvPicPr>
        <xdr:cNvPr id="8" name="Picture 7">
          <a:extLst>
            <a:ext uri="{FF2B5EF4-FFF2-40B4-BE49-F238E27FC236}">
              <a16:creationId xmlns:a16="http://schemas.microsoft.com/office/drawing/2014/main" id="{3D211754-25CA-43EE-BD7A-D5EA2A43ABCD}"/>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6" y="2552700"/>
          <a:ext cx="342900" cy="185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190500</xdr:colOff>
      <xdr:row>13</xdr:row>
      <xdr:rowOff>85725</xdr:rowOff>
    </xdr:from>
    <xdr:to>
      <xdr:col>2</xdr:col>
      <xdr:colOff>561975</xdr:colOff>
      <xdr:row>13</xdr:row>
      <xdr:rowOff>295275</xdr:rowOff>
    </xdr:to>
    <xdr:pic>
      <xdr:nvPicPr>
        <xdr:cNvPr id="11" name="Picture 10">
          <a:extLst>
            <a:ext uri="{FF2B5EF4-FFF2-40B4-BE49-F238E27FC236}">
              <a16:creationId xmlns:a16="http://schemas.microsoft.com/office/drawing/2014/main" id="{0ECF8C5B-448A-4890-A2DF-7D3FCA095FB4}"/>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95500" y="4152900"/>
          <a:ext cx="37147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219075</xdr:colOff>
      <xdr:row>20</xdr:row>
      <xdr:rowOff>600075</xdr:rowOff>
    </xdr:from>
    <xdr:to>
      <xdr:col>2</xdr:col>
      <xdr:colOff>590550</xdr:colOff>
      <xdr:row>22</xdr:row>
      <xdr:rowOff>9525</xdr:rowOff>
    </xdr:to>
    <xdr:pic>
      <xdr:nvPicPr>
        <xdr:cNvPr id="12" name="Picture 11">
          <a:extLst>
            <a:ext uri="{FF2B5EF4-FFF2-40B4-BE49-F238E27FC236}">
              <a16:creationId xmlns:a16="http://schemas.microsoft.com/office/drawing/2014/main" id="{CD81DEC0-5E38-47E0-9283-2DA15447DFD9}"/>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24075" y="7572375"/>
          <a:ext cx="37147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5</xdr:col>
      <xdr:colOff>895350</xdr:colOff>
      <xdr:row>15</xdr:row>
      <xdr:rowOff>285750</xdr:rowOff>
    </xdr:from>
    <xdr:ext cx="65" cy="172227"/>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6943725" y="3276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2</xdr:col>
      <xdr:colOff>219075</xdr:colOff>
      <xdr:row>7</xdr:row>
      <xdr:rowOff>190500</xdr:rowOff>
    </xdr:from>
    <xdr:to>
      <xdr:col>2</xdr:col>
      <xdr:colOff>495300</xdr:colOff>
      <xdr:row>7</xdr:row>
      <xdr:rowOff>371475</xdr:rowOff>
    </xdr:to>
    <xdr:pic>
      <xdr:nvPicPr>
        <xdr:cNvPr id="4" name="Picture 3">
          <a:extLst>
            <a:ext uri="{FF2B5EF4-FFF2-40B4-BE49-F238E27FC236}">
              <a16:creationId xmlns:a16="http://schemas.microsoft.com/office/drawing/2014/main" id="{9F72E22C-674D-4D4B-B7F8-EE7A0D0360BC}"/>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24075" y="1619250"/>
          <a:ext cx="27622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200025</xdr:colOff>
      <xdr:row>11</xdr:row>
      <xdr:rowOff>104775</xdr:rowOff>
    </xdr:from>
    <xdr:to>
      <xdr:col>2</xdr:col>
      <xdr:colOff>466725</xdr:colOff>
      <xdr:row>11</xdr:row>
      <xdr:rowOff>304800</xdr:rowOff>
    </xdr:to>
    <xdr:pic>
      <xdr:nvPicPr>
        <xdr:cNvPr id="5" name="Picture 4">
          <a:extLst>
            <a:ext uri="{FF2B5EF4-FFF2-40B4-BE49-F238E27FC236}">
              <a16:creationId xmlns:a16="http://schemas.microsoft.com/office/drawing/2014/main" id="{157000F0-7596-4F25-B94A-6B77B4A54421}"/>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2867025"/>
          <a:ext cx="2667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200025</xdr:colOff>
      <xdr:row>18</xdr:row>
      <xdr:rowOff>600075</xdr:rowOff>
    </xdr:from>
    <xdr:to>
      <xdr:col>2</xdr:col>
      <xdr:colOff>466725</xdr:colOff>
      <xdr:row>20</xdr:row>
      <xdr:rowOff>0</xdr:rowOff>
    </xdr:to>
    <xdr:pic>
      <xdr:nvPicPr>
        <xdr:cNvPr id="6" name="Picture 5">
          <a:extLst>
            <a:ext uri="{FF2B5EF4-FFF2-40B4-BE49-F238E27FC236}">
              <a16:creationId xmlns:a16="http://schemas.microsoft.com/office/drawing/2014/main" id="{EC156B18-3022-4B2D-BF14-A7224297A2EF}"/>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6391275"/>
          <a:ext cx="2667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123826</xdr:colOff>
      <xdr:row>8</xdr:row>
      <xdr:rowOff>190500</xdr:rowOff>
    </xdr:from>
    <xdr:to>
      <xdr:col>2</xdr:col>
      <xdr:colOff>544830</xdr:colOff>
      <xdr:row>9</xdr:row>
      <xdr:rowOff>0</xdr:rowOff>
    </xdr:to>
    <xdr:pic>
      <xdr:nvPicPr>
        <xdr:cNvPr id="5" name="Picture 4">
          <a:extLst>
            <a:ext uri="{FF2B5EF4-FFF2-40B4-BE49-F238E27FC236}">
              <a16:creationId xmlns:a16="http://schemas.microsoft.com/office/drawing/2014/main" id="{B2337061-ADB3-4DB0-80D2-7AD6FE85B9BB}"/>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28826" y="2352675"/>
          <a:ext cx="42100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133350</xdr:colOff>
      <xdr:row>10</xdr:row>
      <xdr:rowOff>495300</xdr:rowOff>
    </xdr:from>
    <xdr:to>
      <xdr:col>2</xdr:col>
      <xdr:colOff>542017</xdr:colOff>
      <xdr:row>10</xdr:row>
      <xdr:rowOff>657225</xdr:rowOff>
    </xdr:to>
    <xdr:pic>
      <xdr:nvPicPr>
        <xdr:cNvPr id="6" name="Picture 5">
          <a:extLst>
            <a:ext uri="{FF2B5EF4-FFF2-40B4-BE49-F238E27FC236}">
              <a16:creationId xmlns:a16="http://schemas.microsoft.com/office/drawing/2014/main" id="{AEB2D2DE-CDF2-4A01-AC88-DCB0FF102E36}"/>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38350" y="3590925"/>
          <a:ext cx="408667"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grilinks.org/%20post/feed-future-zoi-survey-method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44"/>
  <sheetViews>
    <sheetView tabSelected="1" workbookViewId="0">
      <selection activeCell="B6" sqref="B6"/>
    </sheetView>
  </sheetViews>
  <sheetFormatPr defaultRowHeight="15" x14ac:dyDescent="0.25"/>
  <cols>
    <col min="1" max="1" width="9.140625" style="79"/>
    <col min="2" max="2" width="149.28515625" style="79" customWidth="1"/>
    <col min="3" max="16384" width="9.140625" style="79"/>
  </cols>
  <sheetData>
    <row r="1" spans="2:6" ht="87" customHeight="1" thickBot="1" x14ac:dyDescent="0.3"/>
    <row r="2" spans="2:6" ht="48" customHeight="1" thickBot="1" x14ac:dyDescent="0.4">
      <c r="B2" s="80" t="s">
        <v>143</v>
      </c>
    </row>
    <row r="3" spans="2:6" ht="30" x14ac:dyDescent="0.25">
      <c r="B3" s="96"/>
    </row>
    <row r="4" spans="2:6" ht="105" x14ac:dyDescent="0.25">
      <c r="B4" s="81" t="s">
        <v>144</v>
      </c>
    </row>
    <row r="5" spans="2:6" x14ac:dyDescent="0.25">
      <c r="B5" s="82"/>
    </row>
    <row r="6" spans="2:6" x14ac:dyDescent="0.25">
      <c r="B6" s="83" t="s">
        <v>142</v>
      </c>
    </row>
    <row r="7" spans="2:6" x14ac:dyDescent="0.25">
      <c r="B7" s="97"/>
    </row>
    <row r="8" spans="2:6" x14ac:dyDescent="0.25">
      <c r="B8" s="82" t="s">
        <v>121</v>
      </c>
    </row>
    <row r="9" spans="2:6" x14ac:dyDescent="0.25">
      <c r="B9" s="82"/>
    </row>
    <row r="10" spans="2:6" x14ac:dyDescent="0.25">
      <c r="B10" s="82" t="s">
        <v>115</v>
      </c>
      <c r="C10" s="84"/>
      <c r="D10" s="84"/>
      <c r="E10" s="84"/>
      <c r="F10" s="84"/>
    </row>
    <row r="11" spans="2:6" ht="16.5" customHeight="1" x14ac:dyDescent="0.25">
      <c r="B11" s="85" t="s">
        <v>99</v>
      </c>
      <c r="C11" s="84"/>
      <c r="D11" s="84"/>
      <c r="E11" s="84"/>
      <c r="F11" s="84"/>
    </row>
    <row r="12" spans="2:6" ht="15" customHeight="1" x14ac:dyDescent="0.25">
      <c r="B12" s="86" t="s">
        <v>123</v>
      </c>
      <c r="C12" s="87"/>
      <c r="D12" s="87"/>
      <c r="E12" s="87"/>
      <c r="F12" s="87"/>
    </row>
    <row r="13" spans="2:6" ht="24.75" customHeight="1" x14ac:dyDescent="0.25">
      <c r="B13" s="88" t="s">
        <v>116</v>
      </c>
      <c r="C13" s="89"/>
      <c r="D13" s="89"/>
      <c r="E13" s="89"/>
      <c r="F13" s="89"/>
    </row>
    <row r="14" spans="2:6" ht="17.25" x14ac:dyDescent="0.25">
      <c r="B14" s="85" t="s">
        <v>103</v>
      </c>
      <c r="C14" s="84"/>
      <c r="D14" s="84"/>
      <c r="E14" s="84"/>
      <c r="F14" s="84"/>
    </row>
    <row r="15" spans="2:6" x14ac:dyDescent="0.25">
      <c r="B15" s="86" t="s">
        <v>124</v>
      </c>
      <c r="C15" s="87"/>
      <c r="D15" s="87"/>
      <c r="E15" s="87"/>
      <c r="F15" s="87"/>
    </row>
    <row r="16" spans="2:6" ht="23.25" customHeight="1" x14ac:dyDescent="0.25">
      <c r="B16" s="88" t="s">
        <v>117</v>
      </c>
      <c r="C16" s="89"/>
      <c r="D16" s="89"/>
      <c r="E16" s="89"/>
      <c r="F16" s="89"/>
    </row>
    <row r="17" spans="2:6" ht="17.25" x14ac:dyDescent="0.25">
      <c r="B17" s="85" t="s">
        <v>104</v>
      </c>
      <c r="C17" s="84"/>
      <c r="D17" s="84"/>
      <c r="E17" s="84"/>
      <c r="F17" s="84"/>
    </row>
    <row r="18" spans="2:6" x14ac:dyDescent="0.25">
      <c r="B18" s="86" t="s">
        <v>125</v>
      </c>
      <c r="C18" s="87"/>
      <c r="D18" s="87"/>
      <c r="E18" s="87"/>
      <c r="F18" s="87"/>
    </row>
    <row r="19" spans="2:6" ht="23.25" customHeight="1" x14ac:dyDescent="0.25">
      <c r="B19" s="88" t="s">
        <v>118</v>
      </c>
      <c r="C19" s="89"/>
      <c r="D19" s="89"/>
      <c r="E19" s="89"/>
      <c r="F19" s="89"/>
    </row>
    <row r="20" spans="2:6" ht="17.25" x14ac:dyDescent="0.25">
      <c r="B20" s="85" t="s">
        <v>105</v>
      </c>
      <c r="C20" s="84"/>
      <c r="D20" s="84"/>
      <c r="E20" s="84"/>
      <c r="F20" s="84"/>
    </row>
    <row r="21" spans="2:6" x14ac:dyDescent="0.25">
      <c r="B21" s="86" t="s">
        <v>126</v>
      </c>
      <c r="C21" s="87"/>
      <c r="D21" s="87"/>
      <c r="E21" s="87"/>
      <c r="F21" s="87"/>
    </row>
    <row r="22" spans="2:6" ht="26.25" customHeight="1" x14ac:dyDescent="0.25">
      <c r="B22" s="88" t="s">
        <v>119</v>
      </c>
      <c r="C22" s="89"/>
      <c r="D22" s="89"/>
      <c r="E22" s="89"/>
      <c r="F22" s="89"/>
    </row>
    <row r="23" spans="2:6" ht="17.25" x14ac:dyDescent="0.25">
      <c r="B23" s="85" t="s">
        <v>106</v>
      </c>
      <c r="C23" s="90"/>
      <c r="D23" s="90"/>
      <c r="E23" s="90"/>
      <c r="F23" s="90"/>
    </row>
    <row r="24" spans="2:6" x14ac:dyDescent="0.25">
      <c r="B24" s="86" t="s">
        <v>127</v>
      </c>
      <c r="C24" s="87"/>
      <c r="D24" s="87"/>
      <c r="E24" s="87"/>
      <c r="F24" s="87"/>
    </row>
    <row r="25" spans="2:6" ht="22.5" customHeight="1" x14ac:dyDescent="0.25">
      <c r="B25" s="88" t="s">
        <v>120</v>
      </c>
      <c r="C25" s="89"/>
      <c r="D25" s="89"/>
      <c r="E25" s="89"/>
      <c r="F25" s="89"/>
    </row>
    <row r="26" spans="2:6" ht="17.25" x14ac:dyDescent="0.3">
      <c r="B26" s="91" t="s">
        <v>107</v>
      </c>
      <c r="C26" s="92"/>
      <c r="D26" s="92"/>
      <c r="E26" s="92"/>
      <c r="F26" s="92"/>
    </row>
    <row r="27" spans="2:6" x14ac:dyDescent="0.25">
      <c r="B27" s="86" t="s">
        <v>128</v>
      </c>
      <c r="C27" s="87"/>
      <c r="D27" s="87"/>
      <c r="E27" s="87"/>
      <c r="F27" s="87"/>
    </row>
    <row r="28" spans="2:6" x14ac:dyDescent="0.25">
      <c r="B28" s="88"/>
      <c r="C28" s="89"/>
      <c r="D28" s="89"/>
      <c r="E28" s="89"/>
      <c r="F28" s="89"/>
    </row>
    <row r="29" spans="2:6" ht="21" x14ac:dyDescent="0.35">
      <c r="B29" s="93" t="s">
        <v>98</v>
      </c>
    </row>
    <row r="30" spans="2:6" ht="39" customHeight="1" thickBot="1" x14ac:dyDescent="0.3">
      <c r="B30" s="94" t="s">
        <v>129</v>
      </c>
    </row>
    <row r="31" spans="2:6" ht="17.25" customHeight="1" x14ac:dyDescent="0.25"/>
    <row r="37" spans="2:2" x14ac:dyDescent="0.25">
      <c r="B37" s="95" t="s">
        <v>135</v>
      </c>
    </row>
    <row r="38" spans="2:2" x14ac:dyDescent="0.25">
      <c r="B38" s="79" t="s">
        <v>136</v>
      </c>
    </row>
    <row r="39" spans="2:2" x14ac:dyDescent="0.25">
      <c r="B39" s="79" t="s">
        <v>137</v>
      </c>
    </row>
    <row r="40" spans="2:2" x14ac:dyDescent="0.25">
      <c r="B40" s="79" t="s">
        <v>138</v>
      </c>
    </row>
    <row r="41" spans="2:2" x14ac:dyDescent="0.25">
      <c r="B41" s="79" t="s">
        <v>139</v>
      </c>
    </row>
    <row r="43" spans="2:2" x14ac:dyDescent="0.25">
      <c r="B43" s="79" t="s">
        <v>140</v>
      </c>
    </row>
    <row r="44" spans="2:2" x14ac:dyDescent="0.25">
      <c r="B44" s="79" t="s">
        <v>141</v>
      </c>
    </row>
  </sheetData>
  <sheetProtection algorithmName="SHA-512" hashValue="BCkLH8C0Xns0WersHrYxIn89T9KaXeJNEhkR/w5MkK8/0P7fmstOgYNAdeucztjmWyOkunTvLOsvPKsyY7wJ0g==" saltValue="04UjoVsNVfeSWAasJS0Ifg==" spinCount="100000" sheet="1" objects="1" scenarios="1" selectLockedCells="1"/>
  <hyperlinks>
    <hyperlink ref="B6" r:id="rId1"/>
  </hyperlinks>
  <pageMargins left="0.7" right="0.7" top="0.75" bottom="0.75" header="0.3" footer="0.3"/>
  <pageSetup orientation="portrait" horizontalDpi="4294967295" verticalDpi="4294967295"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44"/>
  <sheetViews>
    <sheetView showGridLines="0" workbookViewId="0">
      <selection activeCell="E6" sqref="E6"/>
    </sheetView>
  </sheetViews>
  <sheetFormatPr defaultRowHeight="15" x14ac:dyDescent="0.25"/>
  <cols>
    <col min="2" max="2" width="19.42578125" customWidth="1"/>
    <col min="3" max="3" width="14.85546875" customWidth="1"/>
    <col min="4" max="4" width="46" customWidth="1"/>
    <col min="5" max="5" width="15.42578125" customWidth="1"/>
    <col min="6" max="6" width="20.140625" customWidth="1"/>
    <col min="13" max="13" width="15.42578125" hidden="1" customWidth="1"/>
    <col min="14" max="14" width="0" hidden="1" customWidth="1"/>
  </cols>
  <sheetData>
    <row r="2" spans="2:14" ht="16.5" customHeight="1" thickBot="1" x14ac:dyDescent="0.3"/>
    <row r="3" spans="2:14" x14ac:dyDescent="0.25">
      <c r="B3" s="31"/>
      <c r="C3" s="32"/>
      <c r="D3" s="32"/>
      <c r="E3" s="32"/>
      <c r="F3" s="33"/>
    </row>
    <row r="4" spans="2:14" ht="17.25" x14ac:dyDescent="0.25">
      <c r="B4" s="77" t="s">
        <v>99</v>
      </c>
      <c r="C4" s="13"/>
      <c r="D4" s="13"/>
      <c r="E4" s="13"/>
      <c r="F4" s="35"/>
    </row>
    <row r="5" spans="2:14" ht="18.75" thickBot="1" x14ac:dyDescent="0.4">
      <c r="B5" s="115" t="s">
        <v>123</v>
      </c>
      <c r="C5" s="116"/>
      <c r="D5" s="116"/>
      <c r="E5" s="116"/>
      <c r="F5" s="117"/>
      <c r="M5" s="4" t="s">
        <v>8</v>
      </c>
      <c r="N5" s="1" t="s">
        <v>9</v>
      </c>
    </row>
    <row r="6" spans="2:14" ht="46.5" customHeight="1" x14ac:dyDescent="0.35">
      <c r="B6" s="51" t="s">
        <v>22</v>
      </c>
      <c r="C6" s="52" t="s">
        <v>1</v>
      </c>
      <c r="D6" s="53" t="s">
        <v>2</v>
      </c>
      <c r="E6" s="98">
        <v>0.5</v>
      </c>
      <c r="F6" s="54" t="s">
        <v>97</v>
      </c>
      <c r="M6" s="3">
        <v>0.9</v>
      </c>
      <c r="N6" s="3">
        <v>1.28</v>
      </c>
    </row>
    <row r="7" spans="2:14" ht="43.5" customHeight="1" x14ac:dyDescent="0.25">
      <c r="B7" s="34"/>
      <c r="C7" s="20"/>
      <c r="D7" s="13"/>
      <c r="E7" s="39" t="str">
        <f>IF(OR(E6&lt;=0,E6&gt;1), "Value out of range; re-enter value", " ")</f>
        <v xml:space="preserve"> </v>
      </c>
      <c r="F7" s="35"/>
      <c r="M7" s="3">
        <v>0.95</v>
      </c>
      <c r="N7" s="3">
        <v>1.64</v>
      </c>
    </row>
    <row r="8" spans="2:14" ht="54" x14ac:dyDescent="0.35">
      <c r="B8" s="34"/>
      <c r="C8" s="20" t="s">
        <v>3</v>
      </c>
      <c r="D8" s="37" t="s">
        <v>4</v>
      </c>
      <c r="E8" s="99">
        <v>0.4</v>
      </c>
      <c r="F8" s="38" t="s">
        <v>130</v>
      </c>
      <c r="M8" s="3">
        <v>0.97499999999999998</v>
      </c>
      <c r="N8" s="3">
        <v>1.96</v>
      </c>
    </row>
    <row r="9" spans="2:14" ht="44.25" customHeight="1" x14ac:dyDescent="0.25">
      <c r="B9" s="34"/>
      <c r="C9" s="20"/>
      <c r="D9" s="13"/>
      <c r="E9" s="39" t="str">
        <f>IF(OR(OR(E8&lt;=0,E8&gt;1),E6=E8), "Value out of range; re-enter value", " ")</f>
        <v xml:space="preserve"> </v>
      </c>
      <c r="F9" s="35"/>
    </row>
    <row r="10" spans="2:14" x14ac:dyDescent="0.25">
      <c r="B10" s="34"/>
      <c r="C10" s="75" t="s">
        <v>112</v>
      </c>
      <c r="D10" s="6" t="s">
        <v>51</v>
      </c>
      <c r="E10" s="99">
        <v>0.95</v>
      </c>
      <c r="F10" s="40" t="s">
        <v>13</v>
      </c>
    </row>
    <row r="11" spans="2:14" ht="18" x14ac:dyDescent="0.35">
      <c r="B11" s="34"/>
      <c r="C11" s="13"/>
      <c r="D11" s="13"/>
      <c r="E11" s="20"/>
      <c r="F11" s="35"/>
      <c r="M11" s="4" t="s">
        <v>10</v>
      </c>
      <c r="N11" s="4" t="s">
        <v>11</v>
      </c>
    </row>
    <row r="12" spans="2:14" ht="18" x14ac:dyDescent="0.35">
      <c r="B12" s="34"/>
      <c r="C12" s="41" t="s">
        <v>6</v>
      </c>
      <c r="D12" s="37" t="s">
        <v>49</v>
      </c>
      <c r="E12" s="19">
        <f>NORMSINV(E10)</f>
        <v>1.6448536269514715</v>
      </c>
      <c r="F12" s="35"/>
      <c r="M12" s="4"/>
      <c r="N12" s="4"/>
    </row>
    <row r="13" spans="2:14" x14ac:dyDescent="0.25">
      <c r="B13" s="34"/>
      <c r="C13" s="41"/>
      <c r="D13" s="13"/>
      <c r="E13" s="20"/>
      <c r="F13" s="35"/>
      <c r="M13" s="4"/>
      <c r="N13" s="4"/>
    </row>
    <row r="14" spans="2:14" x14ac:dyDescent="0.25">
      <c r="B14" s="34"/>
      <c r="C14" s="75" t="s">
        <v>113</v>
      </c>
      <c r="D14" s="6" t="s">
        <v>52</v>
      </c>
      <c r="E14" s="99">
        <v>0.8</v>
      </c>
      <c r="F14" s="40" t="s">
        <v>13</v>
      </c>
      <c r="M14" s="3">
        <v>0.7</v>
      </c>
      <c r="N14" s="3">
        <v>0.53</v>
      </c>
    </row>
    <row r="15" spans="2:14" x14ac:dyDescent="0.25">
      <c r="B15" s="34"/>
      <c r="C15" s="20"/>
      <c r="D15" s="13"/>
      <c r="E15" s="20"/>
      <c r="F15" s="35"/>
      <c r="M15" s="3">
        <v>0.8</v>
      </c>
      <c r="N15" s="3">
        <v>0.84</v>
      </c>
    </row>
    <row r="16" spans="2:14" ht="18" x14ac:dyDescent="0.35">
      <c r="B16" s="34"/>
      <c r="C16" s="41" t="s">
        <v>7</v>
      </c>
      <c r="D16" s="37" t="s">
        <v>50</v>
      </c>
      <c r="E16" s="19">
        <f>NORMSINV(E14)</f>
        <v>0.84162123357291474</v>
      </c>
      <c r="F16" s="35"/>
      <c r="M16" s="3">
        <v>0.9</v>
      </c>
      <c r="N16" s="3">
        <v>1.28</v>
      </c>
    </row>
    <row r="17" spans="2:14" x14ac:dyDescent="0.25">
      <c r="B17" s="34"/>
      <c r="C17" s="20"/>
      <c r="D17" s="13"/>
      <c r="E17" s="20"/>
      <c r="F17" s="35"/>
    </row>
    <row r="18" spans="2:14" ht="45" customHeight="1" x14ac:dyDescent="0.35">
      <c r="B18" s="34"/>
      <c r="C18" s="75" t="s">
        <v>108</v>
      </c>
      <c r="D18" s="37" t="s">
        <v>12</v>
      </c>
      <c r="E18" s="99">
        <v>2</v>
      </c>
      <c r="F18" s="38" t="s">
        <v>14</v>
      </c>
    </row>
    <row r="19" spans="2:14" ht="50.25" customHeight="1" x14ac:dyDescent="0.25">
      <c r="B19" s="34"/>
      <c r="C19" s="20"/>
      <c r="D19" s="13"/>
      <c r="E19" s="39" t="str">
        <f>IF(OR(E18&lt;=0,E18&gt;10), "Value out of range; re-enter value", " ")</f>
        <v xml:space="preserve"> </v>
      </c>
      <c r="F19" s="35"/>
      <c r="M19" t="s">
        <v>15</v>
      </c>
      <c r="N19">
        <f>(E6+E8)/2</f>
        <v>0.45</v>
      </c>
    </row>
    <row r="20" spans="2:14" ht="18" x14ac:dyDescent="0.35">
      <c r="B20" s="34"/>
      <c r="C20" s="29" t="s">
        <v>21</v>
      </c>
      <c r="D20" s="42" t="s">
        <v>0</v>
      </c>
      <c r="E20" s="29">
        <f>ROUNDUP(E18*((N23+N24)/(E6-E8))^2,0)</f>
        <v>610</v>
      </c>
      <c r="F20" s="35"/>
      <c r="M20" t="s">
        <v>16</v>
      </c>
      <c r="N20">
        <f>N19*(1-N19)</f>
        <v>0.24750000000000003</v>
      </c>
    </row>
    <row r="21" spans="2:14" x14ac:dyDescent="0.25">
      <c r="B21" s="34"/>
      <c r="C21" s="20"/>
      <c r="D21" s="13"/>
      <c r="E21" s="13"/>
      <c r="F21" s="35"/>
      <c r="M21" t="s">
        <v>17</v>
      </c>
      <c r="N21">
        <f>E6*(1-E6)</f>
        <v>0.25</v>
      </c>
    </row>
    <row r="22" spans="2:14" ht="15.75" thickBot="1" x14ac:dyDescent="0.3">
      <c r="B22" s="48"/>
      <c r="C22" s="55"/>
      <c r="D22" s="49"/>
      <c r="E22" s="49"/>
      <c r="F22" s="50"/>
      <c r="M22" t="s">
        <v>18</v>
      </c>
      <c r="N22">
        <f>E8*(1-E8)</f>
        <v>0.24</v>
      </c>
    </row>
    <row r="23" spans="2:14" ht="30" x14ac:dyDescent="0.25">
      <c r="B23" s="51" t="s">
        <v>23</v>
      </c>
      <c r="C23" s="52"/>
      <c r="D23" s="56" t="s">
        <v>90</v>
      </c>
      <c r="E23" s="57"/>
      <c r="F23" s="58"/>
      <c r="G23" s="16"/>
      <c r="H23" s="16"/>
      <c r="I23" s="16"/>
      <c r="J23" s="16"/>
      <c r="K23" s="16"/>
      <c r="M23" t="s">
        <v>19</v>
      </c>
      <c r="N23">
        <f>E12*SQRT(2*N20)</f>
        <v>1.1572571061683865</v>
      </c>
    </row>
    <row r="24" spans="2:14" x14ac:dyDescent="0.25">
      <c r="B24" s="34"/>
      <c r="C24" s="20"/>
      <c r="D24" s="13"/>
      <c r="E24" s="13"/>
      <c r="F24" s="35"/>
      <c r="M24" t="s">
        <v>20</v>
      </c>
      <c r="N24">
        <f>E16*SQRT(N21+N22)</f>
        <v>0.58913486350104027</v>
      </c>
    </row>
    <row r="25" spans="2:14" x14ac:dyDescent="0.25">
      <c r="B25" s="34"/>
      <c r="C25" s="20"/>
      <c r="D25" s="13" t="s">
        <v>77</v>
      </c>
      <c r="E25" s="99" t="s">
        <v>78</v>
      </c>
      <c r="F25" s="40" t="s">
        <v>13</v>
      </c>
    </row>
    <row r="26" spans="2:14" ht="70.5" customHeight="1" x14ac:dyDescent="0.25">
      <c r="B26" s="34"/>
      <c r="C26" s="20"/>
      <c r="D26" s="13"/>
      <c r="E26" s="59" t="str">
        <f>IF(E25="Household", "If household level indicator, skip to adjustment 2"," ")</f>
        <v xml:space="preserve"> </v>
      </c>
      <c r="F26" s="35"/>
      <c r="M26" s="18" t="s">
        <v>78</v>
      </c>
    </row>
    <row r="27" spans="2:14" x14ac:dyDescent="0.25">
      <c r="B27" s="34"/>
      <c r="C27" s="20"/>
      <c r="D27" s="13" t="s">
        <v>93</v>
      </c>
      <c r="E27" s="13"/>
      <c r="F27" s="35"/>
      <c r="M27" s="18" t="s">
        <v>79</v>
      </c>
    </row>
    <row r="28" spans="2:14" ht="39" x14ac:dyDescent="0.25">
      <c r="B28" s="34"/>
      <c r="C28" s="20"/>
      <c r="D28" s="17" t="s">
        <v>80</v>
      </c>
      <c r="E28" s="99">
        <v>0.18</v>
      </c>
      <c r="F28" s="38" t="s">
        <v>97</v>
      </c>
    </row>
    <row r="29" spans="2:14" ht="45" customHeight="1" x14ac:dyDescent="0.25">
      <c r="B29" s="34"/>
      <c r="C29" s="20"/>
      <c r="D29" s="17"/>
      <c r="E29" s="39" t="str">
        <f>IF(OR(E28&lt;=0,E28&gt;1), "Value out of range; re-enter value", " ")</f>
        <v xml:space="preserve"> </v>
      </c>
      <c r="F29" s="38"/>
    </row>
    <row r="30" spans="2:14" ht="39" x14ac:dyDescent="0.25">
      <c r="B30" s="34"/>
      <c r="C30" s="20"/>
      <c r="D30" s="17" t="s">
        <v>92</v>
      </c>
      <c r="E30" s="99">
        <v>5</v>
      </c>
      <c r="F30" s="38" t="s">
        <v>94</v>
      </c>
    </row>
    <row r="31" spans="2:14" ht="48.75" customHeight="1" x14ac:dyDescent="0.25">
      <c r="B31" s="34"/>
      <c r="C31" s="20"/>
      <c r="D31" s="14"/>
      <c r="E31" s="39" t="str">
        <f>IF(OR(E30&lt;1,E30&gt;10), "Value out of range; re-enter value", " ")</f>
        <v xml:space="preserve"> </v>
      </c>
      <c r="F31" s="35"/>
    </row>
    <row r="32" spans="2:14" ht="15.75" thickBot="1" x14ac:dyDescent="0.3">
      <c r="B32" s="34"/>
      <c r="C32" s="45" t="s">
        <v>85</v>
      </c>
      <c r="D32" s="17" t="s">
        <v>81</v>
      </c>
      <c r="E32" s="19">
        <f>E28*E30</f>
        <v>0.89999999999999991</v>
      </c>
      <c r="F32" s="40"/>
    </row>
    <row r="33" spans="2:12" ht="31.5" customHeight="1" x14ac:dyDescent="0.25">
      <c r="B33" s="34"/>
      <c r="C33" s="20"/>
      <c r="D33" s="13"/>
      <c r="E33" s="20"/>
      <c r="F33" s="35"/>
      <c r="H33" s="112" t="s">
        <v>100</v>
      </c>
      <c r="I33" s="113"/>
      <c r="J33" s="113"/>
      <c r="K33" s="113"/>
      <c r="L33" s="114"/>
    </row>
    <row r="34" spans="2:12" ht="10.5" hidden="1" customHeight="1" x14ac:dyDescent="0.25">
      <c r="B34" s="34"/>
      <c r="C34" s="17" t="s">
        <v>82</v>
      </c>
      <c r="D34" s="13"/>
      <c r="E34" s="21">
        <f>$E$20/(1-(EXP(-1*$E$32)))</f>
        <v>1027.921827747055</v>
      </c>
      <c r="F34" s="35"/>
      <c r="H34" s="60"/>
      <c r="I34" s="61"/>
      <c r="J34" s="61"/>
      <c r="K34" s="61"/>
      <c r="L34" s="62"/>
    </row>
    <row r="35" spans="2:12" ht="30" x14ac:dyDescent="0.25">
      <c r="B35" s="34"/>
      <c r="C35" s="17" t="s">
        <v>83</v>
      </c>
      <c r="D35" s="44" t="s">
        <v>84</v>
      </c>
      <c r="E35" s="21">
        <f>(1+$E$32)*EXP(-1*$E$32)*$E$34 + (1-((1+$E$32)*EXP(-1*$E$32)))*$E$34/2</f>
        <v>910.98665023322962</v>
      </c>
      <c r="F35" s="35"/>
      <c r="H35" s="103"/>
      <c r="I35" s="104"/>
      <c r="J35" s="104"/>
      <c r="K35" s="104"/>
      <c r="L35" s="105"/>
    </row>
    <row r="36" spans="2:12" x14ac:dyDescent="0.25">
      <c r="B36" s="34"/>
      <c r="C36" s="20"/>
      <c r="D36" s="13"/>
      <c r="E36" s="20"/>
      <c r="F36" s="35"/>
      <c r="H36" s="103"/>
      <c r="I36" s="104"/>
      <c r="J36" s="104"/>
      <c r="K36" s="104"/>
      <c r="L36" s="105"/>
    </row>
    <row r="37" spans="2:12" ht="28.5" x14ac:dyDescent="0.3">
      <c r="B37" s="34"/>
      <c r="C37" s="28" t="s">
        <v>89</v>
      </c>
      <c r="D37" s="24" t="s">
        <v>91</v>
      </c>
      <c r="E37" s="23">
        <f>IF(E25="Household",E20,E35)</f>
        <v>910.98665023322962</v>
      </c>
      <c r="F37" s="35"/>
      <c r="H37" s="103"/>
      <c r="I37" s="104"/>
      <c r="J37" s="104"/>
      <c r="K37" s="104"/>
      <c r="L37" s="105"/>
    </row>
    <row r="38" spans="2:12" ht="15.75" thickBot="1" x14ac:dyDescent="0.3">
      <c r="B38" s="48"/>
      <c r="C38" s="55"/>
      <c r="D38" s="49"/>
      <c r="E38" s="49"/>
      <c r="F38" s="50"/>
      <c r="H38" s="103"/>
      <c r="I38" s="104"/>
      <c r="J38" s="104"/>
      <c r="K38" s="104"/>
      <c r="L38" s="105"/>
    </row>
    <row r="39" spans="2:12" ht="31.5" x14ac:dyDescent="0.35">
      <c r="B39" s="36" t="s">
        <v>86</v>
      </c>
      <c r="C39" s="20"/>
      <c r="D39" s="15" t="s">
        <v>87</v>
      </c>
      <c r="E39" s="25"/>
      <c r="F39" s="46"/>
      <c r="H39" s="103"/>
      <c r="I39" s="104"/>
      <c r="J39" s="104"/>
      <c r="K39" s="104"/>
      <c r="L39" s="105"/>
    </row>
    <row r="40" spans="2:12" x14ac:dyDescent="0.25">
      <c r="B40" s="34"/>
      <c r="C40" s="13"/>
      <c r="D40" s="13"/>
      <c r="E40" s="13"/>
      <c r="F40" s="35"/>
      <c r="H40" s="103"/>
      <c r="I40" s="104"/>
      <c r="J40" s="104"/>
      <c r="K40" s="104"/>
      <c r="L40" s="105"/>
    </row>
    <row r="41" spans="2:12" ht="39" x14ac:dyDescent="0.25">
      <c r="B41" s="34"/>
      <c r="C41" s="13"/>
      <c r="D41" s="26" t="s">
        <v>122</v>
      </c>
      <c r="E41" s="100">
        <v>5</v>
      </c>
      <c r="F41" s="38" t="s">
        <v>95</v>
      </c>
      <c r="H41" s="103"/>
      <c r="I41" s="104"/>
      <c r="J41" s="104"/>
      <c r="K41" s="104"/>
      <c r="L41" s="105"/>
    </row>
    <row r="42" spans="2:12" ht="46.5" customHeight="1" x14ac:dyDescent="0.25">
      <c r="B42" s="34"/>
      <c r="C42" s="13"/>
      <c r="D42" s="26"/>
      <c r="E42" s="39" t="str">
        <f>IF(OR(E41&lt;0,E41&gt;=100), "Value out of range; re-enter value", " ")</f>
        <v xml:space="preserve"> </v>
      </c>
      <c r="F42" s="47"/>
      <c r="H42" s="103"/>
      <c r="I42" s="104"/>
      <c r="J42" s="104"/>
      <c r="K42" s="104"/>
      <c r="L42" s="105"/>
    </row>
    <row r="43" spans="2:12" ht="18" x14ac:dyDescent="0.35">
      <c r="B43" s="34"/>
      <c r="C43" s="42" t="s">
        <v>88</v>
      </c>
      <c r="D43" s="22" t="s">
        <v>96</v>
      </c>
      <c r="E43" s="27">
        <f>E37/(1-(E41/100))</f>
        <v>958.93331603497859</v>
      </c>
      <c r="F43" s="35"/>
      <c r="H43" s="103"/>
      <c r="I43" s="104"/>
      <c r="J43" s="104"/>
      <c r="K43" s="104"/>
      <c r="L43" s="105"/>
    </row>
    <row r="44" spans="2:12" ht="15.75" thickBot="1" x14ac:dyDescent="0.3">
      <c r="B44" s="48"/>
      <c r="C44" s="49"/>
      <c r="D44" s="49"/>
      <c r="E44" s="49"/>
      <c r="F44" s="50"/>
      <c r="H44" s="106"/>
      <c r="I44" s="107"/>
      <c r="J44" s="107"/>
      <c r="K44" s="107"/>
      <c r="L44" s="108"/>
    </row>
  </sheetData>
  <sheetProtection algorithmName="SHA-512" hashValue="OWHJPdGSZSZvm9woYl7We5z/UAatTvnwGmpJzMmvsH2zaMLP8NxC4Cv0mvxMlm0t7YmBETPUKSrKM8iiCxtj7g==" saltValue="Fsa6hSbssZqbYOvcvQykjw==" spinCount="100000" sheet="1" objects="1" scenarios="1" selectLockedCells="1"/>
  <mergeCells count="2">
    <mergeCell ref="H33:L33"/>
    <mergeCell ref="B5:F5"/>
  </mergeCells>
  <conditionalFormatting sqref="E28">
    <cfRule type="expression" dxfId="46" priority="8">
      <formula>E25="Household"</formula>
    </cfRule>
  </conditionalFormatting>
  <conditionalFormatting sqref="E30">
    <cfRule type="expression" dxfId="45" priority="4">
      <formula>E25="Household"</formula>
    </cfRule>
  </conditionalFormatting>
  <conditionalFormatting sqref="E32">
    <cfRule type="expression" dxfId="44" priority="3">
      <formula>E25="Household"</formula>
    </cfRule>
  </conditionalFormatting>
  <conditionalFormatting sqref="E34:E35">
    <cfRule type="expression" dxfId="43" priority="2">
      <formula>E25="Household"</formula>
    </cfRule>
  </conditionalFormatting>
  <conditionalFormatting sqref="E35">
    <cfRule type="expression" dxfId="42" priority="1">
      <formula>E25="Household"</formula>
    </cfRule>
  </conditionalFormatting>
  <dataValidations count="3">
    <dataValidation type="list" allowBlank="1" showInputMessage="1" showErrorMessage="1" sqref="E14">
      <formula1>$M$14:$M$16</formula1>
    </dataValidation>
    <dataValidation type="list" allowBlank="1" showInputMessage="1" showErrorMessage="1" sqref="E10">
      <formula1>$M$6:$M$8</formula1>
    </dataValidation>
    <dataValidation type="list" allowBlank="1" showInputMessage="1" showErrorMessage="1" sqref="E25">
      <formula1>$M$26:$M$27</formula1>
    </dataValidation>
  </dataValidation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67"/>
  <sheetViews>
    <sheetView showGridLines="0" workbookViewId="0">
      <selection activeCell="E6" sqref="E6"/>
    </sheetView>
  </sheetViews>
  <sheetFormatPr defaultRowHeight="15" x14ac:dyDescent="0.25"/>
  <cols>
    <col min="2" max="2" width="19.42578125" customWidth="1"/>
    <col min="3" max="3" width="10.85546875" customWidth="1"/>
    <col min="4" max="4" width="50.140625" customWidth="1"/>
    <col min="5" max="5" width="15" customWidth="1"/>
    <col min="6" max="6" width="20.140625" customWidth="1"/>
    <col min="13" max="13" width="15.42578125" hidden="1" customWidth="1"/>
    <col min="14" max="14" width="0" hidden="1" customWidth="1"/>
  </cols>
  <sheetData>
    <row r="2" spans="2:14" ht="18" customHeight="1" thickBot="1" x14ac:dyDescent="0.3"/>
    <row r="3" spans="2:14" x14ac:dyDescent="0.25">
      <c r="B3" s="31"/>
      <c r="C3" s="32"/>
      <c r="D3" s="32"/>
      <c r="E3" s="32"/>
      <c r="F3" s="33"/>
    </row>
    <row r="4" spans="2:14" ht="17.25" x14ac:dyDescent="0.25">
      <c r="B4" s="77" t="s">
        <v>103</v>
      </c>
      <c r="C4" s="13"/>
      <c r="D4" s="13"/>
      <c r="E4" s="13"/>
      <c r="F4" s="35"/>
    </row>
    <row r="5" spans="2:14" ht="18.75" thickBot="1" x14ac:dyDescent="0.4">
      <c r="B5" s="115" t="s">
        <v>124</v>
      </c>
      <c r="C5" s="116"/>
      <c r="D5" s="116"/>
      <c r="E5" s="116"/>
      <c r="F5" s="117"/>
      <c r="M5" s="4" t="s">
        <v>8</v>
      </c>
      <c r="N5" s="1" t="s">
        <v>9</v>
      </c>
    </row>
    <row r="6" spans="2:14" ht="41.25" customHeight="1" x14ac:dyDescent="0.25">
      <c r="B6" s="51" t="s">
        <v>22</v>
      </c>
      <c r="C6" s="52"/>
      <c r="D6" s="53" t="s">
        <v>24</v>
      </c>
      <c r="E6" s="98">
        <v>1</v>
      </c>
      <c r="F6" s="54" t="s">
        <v>74</v>
      </c>
      <c r="M6" s="3">
        <v>0.9</v>
      </c>
      <c r="N6" s="3">
        <v>1.28</v>
      </c>
    </row>
    <row r="7" spans="2:14" ht="53.25" customHeight="1" x14ac:dyDescent="0.25">
      <c r="B7" s="34"/>
      <c r="D7" s="13"/>
      <c r="E7" s="39" t="str">
        <f>IF(OR(E6&lt;=0, ISTEXT(E6)), "Value out of range; re-enter value", " ")</f>
        <v xml:space="preserve"> </v>
      </c>
      <c r="F7" s="35"/>
      <c r="I7" s="20"/>
      <c r="M7" s="3">
        <v>0.95</v>
      </c>
      <c r="N7" s="3">
        <v>1.64</v>
      </c>
    </row>
    <row r="8" spans="2:14" ht="39.75" x14ac:dyDescent="0.25">
      <c r="B8" s="34"/>
      <c r="D8" s="37" t="s">
        <v>25</v>
      </c>
      <c r="E8" s="99">
        <v>1.5</v>
      </c>
      <c r="F8" s="64" t="s">
        <v>131</v>
      </c>
      <c r="M8" s="3">
        <v>0.97499999999999998</v>
      </c>
      <c r="N8" s="3">
        <v>1.96</v>
      </c>
    </row>
    <row r="9" spans="2:14" ht="44.25" customHeight="1" x14ac:dyDescent="0.25">
      <c r="B9" s="34"/>
      <c r="C9" s="20"/>
      <c r="D9" s="13"/>
      <c r="E9" s="39" t="str">
        <f>IF(OR(OR(E8&lt;=0,E6=E8),ISTEXT(E8)), "Value out of range; re-enter value", " ")</f>
        <v xml:space="preserve"> </v>
      </c>
      <c r="F9" s="38"/>
      <c r="M9" s="3"/>
      <c r="N9" s="3"/>
    </row>
    <row r="10" spans="2:14" x14ac:dyDescent="0.25">
      <c r="B10" s="34"/>
      <c r="C10" s="45" t="s">
        <v>27</v>
      </c>
      <c r="D10" s="13" t="s">
        <v>26</v>
      </c>
      <c r="E10" s="30">
        <f>ABS(E6-E8)</f>
        <v>0.5</v>
      </c>
      <c r="F10" s="38"/>
      <c r="M10" s="3"/>
      <c r="N10" s="3"/>
    </row>
    <row r="11" spans="2:14" x14ac:dyDescent="0.25">
      <c r="B11" s="34"/>
      <c r="C11" s="45"/>
      <c r="D11" s="13"/>
      <c r="E11" s="30"/>
      <c r="F11" s="38"/>
      <c r="M11" s="3"/>
      <c r="N11" s="3"/>
    </row>
    <row r="12" spans="2:14" x14ac:dyDescent="0.25">
      <c r="B12" s="34"/>
      <c r="C12" s="45"/>
      <c r="D12" s="13" t="s">
        <v>28</v>
      </c>
      <c r="E12" s="99" t="s">
        <v>34</v>
      </c>
      <c r="F12" s="40" t="s">
        <v>13</v>
      </c>
      <c r="M12" s="3" t="s">
        <v>34</v>
      </c>
      <c r="N12" s="3"/>
    </row>
    <row r="13" spans="2:14" x14ac:dyDescent="0.25">
      <c r="B13" s="34"/>
      <c r="C13" s="45"/>
      <c r="D13" s="13"/>
      <c r="E13" s="30"/>
      <c r="F13" s="38"/>
      <c r="M13" s="3" t="s">
        <v>35</v>
      </c>
      <c r="N13" s="3"/>
    </row>
    <row r="14" spans="2:14" ht="24.75" customHeight="1" x14ac:dyDescent="0.25">
      <c r="B14" s="34"/>
      <c r="D14" s="6" t="s">
        <v>29</v>
      </c>
      <c r="E14" s="101">
        <v>0.5</v>
      </c>
      <c r="F14" s="64" t="s">
        <v>74</v>
      </c>
      <c r="M14" s="3"/>
      <c r="N14" s="3"/>
    </row>
    <row r="15" spans="2:14" ht="48" customHeight="1" x14ac:dyDescent="0.25">
      <c r="B15" s="34"/>
      <c r="C15" s="45"/>
      <c r="D15" s="13"/>
      <c r="E15" s="39" t="str">
        <f>IF(E14&lt;=0, "Value out of range; re-enter value", " ")</f>
        <v xml:space="preserve"> </v>
      </c>
      <c r="F15" s="38"/>
      <c r="M15" s="3"/>
      <c r="N15" s="3"/>
    </row>
    <row r="16" spans="2:14" x14ac:dyDescent="0.25">
      <c r="B16" s="34"/>
      <c r="C16" s="45"/>
      <c r="D16" s="6" t="s">
        <v>30</v>
      </c>
      <c r="E16" s="30"/>
      <c r="F16" s="38"/>
      <c r="M16" s="3"/>
      <c r="N16" s="3"/>
    </row>
    <row r="17" spans="2:14" x14ac:dyDescent="0.25">
      <c r="B17" s="34"/>
      <c r="C17" s="45"/>
      <c r="D17" s="13"/>
      <c r="E17" s="30"/>
      <c r="F17" s="38"/>
      <c r="M17" s="3"/>
      <c r="N17" s="3"/>
    </row>
    <row r="18" spans="2:14" ht="28.5" customHeight="1" x14ac:dyDescent="0.25">
      <c r="B18" s="34"/>
      <c r="C18" s="74" t="s">
        <v>31</v>
      </c>
      <c r="D18" s="7" t="s">
        <v>36</v>
      </c>
      <c r="E18" s="99">
        <v>4</v>
      </c>
      <c r="F18" s="64" t="s">
        <v>74</v>
      </c>
      <c r="M18" s="3"/>
      <c r="N18" s="3"/>
    </row>
    <row r="19" spans="2:14" ht="45.75" customHeight="1" x14ac:dyDescent="0.25">
      <c r="B19" s="34"/>
      <c r="C19" s="45"/>
      <c r="D19" s="13"/>
      <c r="E19" s="39" t="str">
        <f>IF(OR(E18&lt;=0,ISTEXT(E18)), "Value out of range; re-enter value", " ")</f>
        <v xml:space="preserve"> </v>
      </c>
      <c r="F19" s="38"/>
      <c r="M19" s="3"/>
      <c r="N19" s="3"/>
    </row>
    <row r="20" spans="2:14" ht="27" x14ac:dyDescent="0.25">
      <c r="B20" s="34"/>
      <c r="C20" s="74" t="s">
        <v>32</v>
      </c>
      <c r="D20" s="7" t="s">
        <v>101</v>
      </c>
      <c r="E20" s="99">
        <v>0</v>
      </c>
      <c r="F20" s="64" t="s">
        <v>102</v>
      </c>
    </row>
    <row r="21" spans="2:14" ht="48" customHeight="1" x14ac:dyDescent="0.25">
      <c r="B21" s="34"/>
      <c r="C21" s="20"/>
      <c r="D21" s="13"/>
      <c r="E21" s="39" t="str">
        <f>IF(OR(OR(E20&lt;0,E18&lt;=E20), ISTEXT(E20)), "Value out of range; re-enter value", " ")</f>
        <v xml:space="preserve"> </v>
      </c>
      <c r="F21" s="35"/>
    </row>
    <row r="22" spans="2:14" x14ac:dyDescent="0.25">
      <c r="B22" s="34"/>
      <c r="D22" s="9" t="s">
        <v>33</v>
      </c>
      <c r="E22" s="19">
        <f>IF(E12="YES", E14, (E18-E20)/6)</f>
        <v>0.5</v>
      </c>
      <c r="F22" s="35"/>
    </row>
    <row r="23" spans="2:14" x14ac:dyDescent="0.25">
      <c r="B23" s="34"/>
      <c r="C23" s="20"/>
      <c r="D23" s="13"/>
      <c r="E23" s="20"/>
      <c r="F23" s="35"/>
    </row>
    <row r="24" spans="2:14" x14ac:dyDescent="0.25">
      <c r="B24" s="65"/>
      <c r="C24" s="75" t="s">
        <v>112</v>
      </c>
      <c r="D24" s="6" t="s">
        <v>51</v>
      </c>
      <c r="E24" s="99">
        <v>0.95</v>
      </c>
      <c r="F24" s="40" t="s">
        <v>13</v>
      </c>
    </row>
    <row r="25" spans="2:14" ht="18" x14ac:dyDescent="0.35">
      <c r="B25" s="34"/>
      <c r="C25" s="13"/>
      <c r="D25" s="13"/>
      <c r="E25" s="20"/>
      <c r="F25" s="35"/>
      <c r="M25" s="4" t="s">
        <v>10</v>
      </c>
      <c r="N25" s="4" t="s">
        <v>11</v>
      </c>
    </row>
    <row r="26" spans="2:14" ht="18" x14ac:dyDescent="0.35">
      <c r="B26" s="34"/>
      <c r="C26" s="41" t="s">
        <v>6</v>
      </c>
      <c r="D26" s="37" t="s">
        <v>49</v>
      </c>
      <c r="E26" s="19">
        <f>NORMSINV(E24)</f>
        <v>1.6448536269514715</v>
      </c>
      <c r="F26" s="35"/>
      <c r="M26" s="4"/>
      <c r="N26" s="4"/>
    </row>
    <row r="27" spans="2:14" x14ac:dyDescent="0.25">
      <c r="B27" s="34"/>
      <c r="C27" s="41"/>
      <c r="D27" s="13"/>
      <c r="E27" s="20"/>
      <c r="F27" s="35"/>
      <c r="M27" s="4"/>
      <c r="N27" s="4"/>
    </row>
    <row r="28" spans="2:14" x14ac:dyDescent="0.25">
      <c r="B28" s="34"/>
      <c r="C28" s="75" t="s">
        <v>113</v>
      </c>
      <c r="D28" s="6" t="s">
        <v>52</v>
      </c>
      <c r="E28" s="99">
        <v>0.8</v>
      </c>
      <c r="F28" s="40" t="s">
        <v>13</v>
      </c>
      <c r="M28" s="3">
        <v>0.7</v>
      </c>
      <c r="N28" s="3">
        <v>0.53</v>
      </c>
    </row>
    <row r="29" spans="2:14" x14ac:dyDescent="0.25">
      <c r="B29" s="34"/>
      <c r="C29" s="20"/>
      <c r="D29" s="13"/>
      <c r="E29" s="20"/>
      <c r="F29" s="35"/>
      <c r="M29" s="3">
        <v>0.8</v>
      </c>
      <c r="N29" s="3">
        <v>0.84</v>
      </c>
    </row>
    <row r="30" spans="2:14" ht="18" x14ac:dyDescent="0.35">
      <c r="B30" s="34"/>
      <c r="C30" s="41" t="s">
        <v>7</v>
      </c>
      <c r="D30" s="37" t="s">
        <v>50</v>
      </c>
      <c r="E30" s="19">
        <f>NORMSINV(E28)</f>
        <v>0.84162123357291474</v>
      </c>
      <c r="F30" s="35"/>
      <c r="M30" s="3">
        <v>0.9</v>
      </c>
      <c r="N30" s="3">
        <v>1.28</v>
      </c>
    </row>
    <row r="31" spans="2:14" x14ac:dyDescent="0.25">
      <c r="B31" s="34"/>
      <c r="C31" s="20"/>
      <c r="D31" s="13"/>
      <c r="E31" s="20"/>
      <c r="F31" s="35"/>
    </row>
    <row r="32" spans="2:14" ht="45" customHeight="1" x14ac:dyDescent="0.35">
      <c r="B32" s="34"/>
      <c r="C32" s="75" t="s">
        <v>108</v>
      </c>
      <c r="D32" s="37" t="s">
        <v>12</v>
      </c>
      <c r="E32" s="99">
        <v>2</v>
      </c>
      <c r="F32" s="38" t="s">
        <v>14</v>
      </c>
    </row>
    <row r="33" spans="2:14" ht="50.25" customHeight="1" x14ac:dyDescent="0.25">
      <c r="B33" s="34"/>
      <c r="C33" s="20"/>
      <c r="D33" s="13"/>
      <c r="E33" s="39" t="str">
        <f>IF(OR(E32&lt;=0,E32&gt;10), "Value out of range; re-enter value", " ")</f>
        <v xml:space="preserve"> </v>
      </c>
      <c r="F33" s="35"/>
    </row>
    <row r="34" spans="2:14" ht="18" x14ac:dyDescent="0.35">
      <c r="B34" s="34"/>
      <c r="C34" s="29" t="s">
        <v>21</v>
      </c>
      <c r="D34" s="42" t="s">
        <v>0</v>
      </c>
      <c r="E34" s="29">
        <f>ROUNDUP((E32*N34*N35)/(E10^2),0)</f>
        <v>25</v>
      </c>
      <c r="F34" s="35"/>
      <c r="M34" t="s">
        <v>19</v>
      </c>
      <c r="N34">
        <f>(E26+E30)^2</f>
        <v>6.1825572320197661</v>
      </c>
    </row>
    <row r="35" spans="2:14" x14ac:dyDescent="0.25">
      <c r="B35" s="34"/>
      <c r="C35" s="20"/>
      <c r="D35" s="13"/>
      <c r="E35" s="13"/>
      <c r="F35" s="35"/>
      <c r="M35" t="s">
        <v>20</v>
      </c>
      <c r="N35">
        <f>2*(E22)^2</f>
        <v>0.5</v>
      </c>
    </row>
    <row r="36" spans="2:14" ht="15.75" thickBot="1" x14ac:dyDescent="0.3">
      <c r="B36" s="48"/>
      <c r="C36" s="55"/>
      <c r="D36" s="49"/>
      <c r="E36" s="49"/>
      <c r="F36" s="50"/>
    </row>
    <row r="37" spans="2:14" ht="30" x14ac:dyDescent="0.25">
      <c r="B37" s="36" t="s">
        <v>23</v>
      </c>
      <c r="C37" s="20"/>
      <c r="D37" s="15" t="s">
        <v>90</v>
      </c>
      <c r="E37" s="16"/>
      <c r="F37" s="43"/>
    </row>
    <row r="38" spans="2:14" x14ac:dyDescent="0.25">
      <c r="B38" s="34"/>
      <c r="C38" s="20"/>
      <c r="D38" s="13"/>
      <c r="E38" s="13"/>
      <c r="F38" s="35"/>
    </row>
    <row r="39" spans="2:14" x14ac:dyDescent="0.25">
      <c r="B39" s="34"/>
      <c r="C39" s="20"/>
      <c r="D39" s="13" t="s">
        <v>77</v>
      </c>
      <c r="E39" s="99" t="s">
        <v>78</v>
      </c>
      <c r="F39" s="40" t="s">
        <v>13</v>
      </c>
      <c r="M39" t="s">
        <v>78</v>
      </c>
    </row>
    <row r="40" spans="2:14" ht="59.25" customHeight="1" x14ac:dyDescent="0.25">
      <c r="B40" s="34"/>
      <c r="C40" s="20"/>
      <c r="D40" s="13"/>
      <c r="E40" s="59" t="str">
        <f>IF(E39="Household", "If household level indicator, skip to adjustment 2"," ")</f>
        <v xml:space="preserve"> </v>
      </c>
      <c r="F40" s="35"/>
      <c r="M40" t="s">
        <v>79</v>
      </c>
    </row>
    <row r="41" spans="2:14" x14ac:dyDescent="0.25">
      <c r="B41" s="34"/>
      <c r="C41" s="20"/>
      <c r="D41" s="13" t="s">
        <v>93</v>
      </c>
      <c r="E41" s="13"/>
      <c r="F41" s="35"/>
    </row>
    <row r="42" spans="2:14" ht="39" x14ac:dyDescent="0.25">
      <c r="B42" s="34"/>
      <c r="C42" s="20"/>
      <c r="D42" s="17" t="s">
        <v>80</v>
      </c>
      <c r="E42" s="99">
        <v>0.18</v>
      </c>
      <c r="F42" s="38" t="s">
        <v>97</v>
      </c>
    </row>
    <row r="43" spans="2:14" ht="45.75" customHeight="1" x14ac:dyDescent="0.25">
      <c r="B43" s="34"/>
      <c r="C43" s="20"/>
      <c r="D43" s="17"/>
      <c r="E43" s="39" t="str">
        <f>IF(OR(E42&lt;=0,E42&gt;1), "Value out of range; re-enter value", " ")</f>
        <v xml:space="preserve"> </v>
      </c>
      <c r="F43" s="38"/>
    </row>
    <row r="44" spans="2:14" ht="39" x14ac:dyDescent="0.25">
      <c r="B44" s="34"/>
      <c r="C44" s="20"/>
      <c r="D44" s="17" t="s">
        <v>92</v>
      </c>
      <c r="E44" s="99">
        <v>5</v>
      </c>
      <c r="F44" s="38" t="s">
        <v>94</v>
      </c>
    </row>
    <row r="45" spans="2:14" ht="48.75" customHeight="1" thickBot="1" x14ac:dyDescent="0.3">
      <c r="B45" s="34"/>
      <c r="C45" s="20"/>
      <c r="D45" s="14"/>
      <c r="E45" s="39" t="str">
        <f>IF(OR(E44&lt;1,E44&gt;10), "Value out of range; re-enter value", " ")</f>
        <v xml:space="preserve"> </v>
      </c>
      <c r="F45" s="35"/>
    </row>
    <row r="46" spans="2:14" ht="35.25" customHeight="1" thickBot="1" x14ac:dyDescent="0.3">
      <c r="B46" s="34"/>
      <c r="C46" s="45" t="s">
        <v>85</v>
      </c>
      <c r="D46" s="17" t="s">
        <v>81</v>
      </c>
      <c r="E46" s="19">
        <f>E42*E44</f>
        <v>0.89999999999999991</v>
      </c>
      <c r="F46" s="40"/>
      <c r="H46" s="112" t="s">
        <v>100</v>
      </c>
      <c r="I46" s="113"/>
      <c r="J46" s="113"/>
      <c r="K46" s="113"/>
      <c r="L46" s="114"/>
    </row>
    <row r="47" spans="2:14" x14ac:dyDescent="0.25">
      <c r="B47" s="34"/>
      <c r="C47" s="20"/>
      <c r="D47" s="13"/>
      <c r="E47" s="20"/>
      <c r="F47" s="35"/>
      <c r="H47" s="109"/>
      <c r="I47" s="110"/>
      <c r="J47" s="110"/>
      <c r="K47" s="110"/>
      <c r="L47" s="111"/>
    </row>
    <row r="48" spans="2:14" ht="18" hidden="1" customHeight="1" x14ac:dyDescent="0.25">
      <c r="B48" s="34"/>
      <c r="C48" s="17" t="s">
        <v>82</v>
      </c>
      <c r="D48" s="13"/>
      <c r="E48" s="21">
        <f>$E$34/(1-(EXP(-1*$E$46)))</f>
        <v>42.127943760125206</v>
      </c>
      <c r="F48" s="35"/>
      <c r="H48" s="103"/>
      <c r="I48" s="104"/>
      <c r="J48" s="104"/>
      <c r="K48" s="104"/>
      <c r="L48" s="105"/>
    </row>
    <row r="49" spans="2:12" ht="30" x14ac:dyDescent="0.25">
      <c r="B49" s="34"/>
      <c r="C49" s="17" t="s">
        <v>83</v>
      </c>
      <c r="D49" s="44" t="s">
        <v>84</v>
      </c>
      <c r="E49" s="21">
        <f>(1+$E$46)*EXP(-1*$E$46)*$E$48 + (1-((1+$E$46)*EXP(-1*$E$46)))*$E$48/2</f>
        <v>37.335518452181539</v>
      </c>
      <c r="F49" s="35"/>
      <c r="H49" s="103"/>
      <c r="I49" s="104"/>
      <c r="J49" s="104"/>
      <c r="K49" s="104"/>
      <c r="L49" s="105"/>
    </row>
    <row r="50" spans="2:12" x14ac:dyDescent="0.25">
      <c r="B50" s="34"/>
      <c r="C50" s="20"/>
      <c r="D50" s="13"/>
      <c r="E50" s="20"/>
      <c r="F50" s="35"/>
      <c r="H50" s="103"/>
      <c r="I50" s="104"/>
      <c r="J50" s="104"/>
      <c r="K50" s="104"/>
      <c r="L50" s="105"/>
    </row>
    <row r="51" spans="2:12" ht="36" x14ac:dyDescent="0.3">
      <c r="B51" s="34"/>
      <c r="C51" s="28" t="s">
        <v>89</v>
      </c>
      <c r="D51" s="24" t="s">
        <v>91</v>
      </c>
      <c r="E51" s="23">
        <f>IF(E39="Household",E34,E49)</f>
        <v>37.335518452181539</v>
      </c>
      <c r="F51" s="35"/>
      <c r="H51" s="103"/>
      <c r="I51" s="104"/>
      <c r="J51" s="104"/>
      <c r="K51" s="104"/>
      <c r="L51" s="105"/>
    </row>
    <row r="52" spans="2:12" ht="15.75" thickBot="1" x14ac:dyDescent="0.3">
      <c r="B52" s="34"/>
      <c r="C52" s="20"/>
      <c r="D52" s="13"/>
      <c r="E52" s="13"/>
      <c r="F52" s="35"/>
      <c r="H52" s="103"/>
      <c r="I52" s="104"/>
      <c r="J52" s="104"/>
      <c r="K52" s="104"/>
      <c r="L52" s="105"/>
    </row>
    <row r="53" spans="2:12" ht="31.5" x14ac:dyDescent="0.35">
      <c r="B53" s="51" t="s">
        <v>86</v>
      </c>
      <c r="C53" s="52"/>
      <c r="D53" s="56" t="s">
        <v>87</v>
      </c>
      <c r="E53" s="66"/>
      <c r="F53" s="67"/>
      <c r="H53" s="103"/>
      <c r="I53" s="104"/>
      <c r="J53" s="104"/>
      <c r="K53" s="104"/>
      <c r="L53" s="105"/>
    </row>
    <row r="54" spans="2:12" x14ac:dyDescent="0.25">
      <c r="B54" s="34"/>
      <c r="C54" s="13"/>
      <c r="D54" s="13"/>
      <c r="E54" s="13"/>
      <c r="F54" s="35"/>
      <c r="H54" s="103"/>
      <c r="I54" s="104"/>
      <c r="J54" s="104"/>
      <c r="K54" s="104"/>
      <c r="L54" s="105"/>
    </row>
    <row r="55" spans="2:12" ht="39" x14ac:dyDescent="0.25">
      <c r="B55" s="34"/>
      <c r="C55" s="13"/>
      <c r="D55" s="26" t="s">
        <v>122</v>
      </c>
      <c r="E55" s="100">
        <v>5</v>
      </c>
      <c r="F55" s="38" t="s">
        <v>95</v>
      </c>
      <c r="H55" s="103"/>
      <c r="I55" s="104"/>
      <c r="J55" s="104"/>
      <c r="K55" s="104"/>
      <c r="L55" s="105"/>
    </row>
    <row r="56" spans="2:12" ht="48.75" customHeight="1" x14ac:dyDescent="0.25">
      <c r="B56" s="34"/>
      <c r="C56" s="13"/>
      <c r="D56" s="26"/>
      <c r="E56" s="39" t="str">
        <f>IF(OR(E55&lt;0,E55&gt;=100), "Value out of range; re-enter value", " ")</f>
        <v xml:space="preserve"> </v>
      </c>
      <c r="F56" s="47"/>
      <c r="H56" s="103"/>
      <c r="I56" s="104"/>
      <c r="J56" s="104"/>
      <c r="K56" s="104"/>
      <c r="L56" s="105"/>
    </row>
    <row r="57" spans="2:12" ht="18" x14ac:dyDescent="0.35">
      <c r="B57" s="34"/>
      <c r="C57" s="42" t="s">
        <v>88</v>
      </c>
      <c r="D57" s="22" t="s">
        <v>96</v>
      </c>
      <c r="E57" s="27">
        <f>E51/(1-(E55/100))</f>
        <v>39.300545739138464</v>
      </c>
      <c r="F57" s="35"/>
      <c r="H57" s="103"/>
      <c r="I57" s="104"/>
      <c r="J57" s="104"/>
      <c r="K57" s="104"/>
      <c r="L57" s="105"/>
    </row>
    <row r="58" spans="2:12" ht="15.75" thickBot="1" x14ac:dyDescent="0.3">
      <c r="B58" s="48"/>
      <c r="C58" s="49"/>
      <c r="D58" s="49"/>
      <c r="E58" s="49"/>
      <c r="F58" s="50"/>
      <c r="H58" s="106"/>
      <c r="I58" s="107"/>
      <c r="J58" s="107"/>
      <c r="K58" s="107"/>
      <c r="L58" s="108"/>
    </row>
    <row r="67" spans="2:6" ht="86.25" customHeight="1" x14ac:dyDescent="0.25">
      <c r="B67" s="118"/>
      <c r="C67" s="119"/>
      <c r="D67" s="119"/>
      <c r="E67" s="119"/>
      <c r="F67" s="119"/>
    </row>
  </sheetData>
  <sheetProtection algorithmName="SHA-512" hashValue="6FZQD8SvSxICsboGrfpaC1HWihSCU7IVQH3/rVilnySK46kFJqN2LKeFPwzLsKh3RxYzVSySHBwLD95pTbz0cg==" saltValue="Ead+uQ3zi7y95IgN3mZrJg==" spinCount="100000" sheet="1" objects="1" scenarios="1" selectLockedCells="1"/>
  <mergeCells count="3">
    <mergeCell ref="H46:L46"/>
    <mergeCell ref="B5:F5"/>
    <mergeCell ref="B67:F67"/>
  </mergeCells>
  <conditionalFormatting sqref="E14">
    <cfRule type="expression" dxfId="41" priority="12">
      <formula>E12="NO"</formula>
    </cfRule>
  </conditionalFormatting>
  <conditionalFormatting sqref="E18">
    <cfRule type="expression" dxfId="40" priority="11">
      <formula>E12="YES"</formula>
    </cfRule>
  </conditionalFormatting>
  <conditionalFormatting sqref="E20">
    <cfRule type="expression" dxfId="39" priority="10">
      <formula>E12="YES"</formula>
    </cfRule>
  </conditionalFormatting>
  <conditionalFormatting sqref="F14">
    <cfRule type="expression" dxfId="38" priority="9">
      <formula>E12="NO"</formula>
    </cfRule>
  </conditionalFormatting>
  <conditionalFormatting sqref="F18">
    <cfRule type="expression" dxfId="37" priority="8">
      <formula>E12="YES"</formula>
    </cfRule>
  </conditionalFormatting>
  <conditionalFormatting sqref="F20">
    <cfRule type="expression" dxfId="36" priority="7">
      <formula>E12="YES"</formula>
    </cfRule>
  </conditionalFormatting>
  <conditionalFormatting sqref="F8">
    <cfRule type="expression" dxfId="35" priority="6">
      <formula>E6="NO"</formula>
    </cfRule>
  </conditionalFormatting>
  <conditionalFormatting sqref="E42">
    <cfRule type="expression" dxfId="34" priority="5">
      <formula>E39="Household"</formula>
    </cfRule>
  </conditionalFormatting>
  <conditionalFormatting sqref="E44">
    <cfRule type="expression" dxfId="33" priority="4">
      <formula>E39="Household"</formula>
    </cfRule>
  </conditionalFormatting>
  <conditionalFormatting sqref="E46">
    <cfRule type="expression" dxfId="32" priority="3">
      <formula>E39="Household"</formula>
    </cfRule>
  </conditionalFormatting>
  <conditionalFormatting sqref="E48:E49">
    <cfRule type="expression" dxfId="31" priority="2">
      <formula>E39="Household"</formula>
    </cfRule>
  </conditionalFormatting>
  <conditionalFormatting sqref="E49">
    <cfRule type="expression" dxfId="30" priority="1">
      <formula>E39="Household"</formula>
    </cfRule>
  </conditionalFormatting>
  <dataValidations count="4">
    <dataValidation type="list" allowBlank="1" showInputMessage="1" showErrorMessage="1" sqref="E24">
      <formula1>$M$6:$M$8</formula1>
    </dataValidation>
    <dataValidation type="list" allowBlank="1" showInputMessage="1" showErrorMessage="1" sqref="E28">
      <formula1>$M$28:$M$30</formula1>
    </dataValidation>
    <dataValidation type="list" allowBlank="1" showInputMessage="1" showErrorMessage="1" sqref="E12">
      <formula1>$M$12:$M$13</formula1>
    </dataValidation>
    <dataValidation type="list" allowBlank="1" showInputMessage="1" showErrorMessage="1" sqref="E39">
      <formula1>$M$39:$M$40</formula1>
    </dataValidation>
  </dataValidations>
  <pageMargins left="0.7" right="0.7" top="0.75" bottom="0.75" header="0.3" footer="0.3"/>
  <pageSetup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51"/>
  <sheetViews>
    <sheetView showGridLines="0" workbookViewId="0">
      <selection activeCell="E6" sqref="E6"/>
    </sheetView>
  </sheetViews>
  <sheetFormatPr defaultRowHeight="15" x14ac:dyDescent="0.25"/>
  <cols>
    <col min="2" max="2" width="19.42578125" customWidth="1"/>
    <col min="3" max="3" width="10.85546875" customWidth="1"/>
    <col min="4" max="4" width="44.7109375" customWidth="1"/>
    <col min="5" max="5" width="14.42578125" customWidth="1"/>
    <col min="6" max="6" width="20.140625" customWidth="1"/>
    <col min="13" max="13" width="15.42578125" hidden="1" customWidth="1"/>
    <col min="14" max="15" width="9.140625" hidden="1" customWidth="1"/>
  </cols>
  <sheetData>
    <row r="2" spans="2:15" ht="15.75" thickBot="1" x14ac:dyDescent="0.3"/>
    <row r="3" spans="2:15" x14ac:dyDescent="0.25">
      <c r="B3" s="31"/>
      <c r="C3" s="32"/>
      <c r="D3" s="32"/>
      <c r="E3" s="32"/>
      <c r="F3" s="33"/>
    </row>
    <row r="4" spans="2:15" ht="17.25" x14ac:dyDescent="0.25">
      <c r="B4" s="77" t="s">
        <v>104</v>
      </c>
      <c r="C4" s="13"/>
      <c r="D4" s="13"/>
      <c r="E4" s="13"/>
      <c r="F4" s="35"/>
    </row>
    <row r="5" spans="2:15" ht="18.75" thickBot="1" x14ac:dyDescent="0.4">
      <c r="B5" s="115" t="s">
        <v>125</v>
      </c>
      <c r="C5" s="116"/>
      <c r="D5" s="116"/>
      <c r="E5" s="116"/>
      <c r="F5" s="117"/>
      <c r="M5" s="8" t="s">
        <v>45</v>
      </c>
      <c r="N5" s="4" t="s">
        <v>43</v>
      </c>
      <c r="O5" s="4" t="s">
        <v>44</v>
      </c>
    </row>
    <row r="6" spans="2:15" ht="48.75" customHeight="1" x14ac:dyDescent="0.35">
      <c r="B6" s="51" t="s">
        <v>22</v>
      </c>
      <c r="C6" s="52" t="s">
        <v>37</v>
      </c>
      <c r="D6" s="53" t="s">
        <v>55</v>
      </c>
      <c r="E6" s="98">
        <v>0.5</v>
      </c>
      <c r="F6" s="54" t="s">
        <v>97</v>
      </c>
      <c r="M6" s="2">
        <v>0.1</v>
      </c>
      <c r="N6" s="3">
        <f>1-(M6/2)</f>
        <v>0.95</v>
      </c>
      <c r="O6" s="2">
        <v>1.64</v>
      </c>
    </row>
    <row r="7" spans="2:15" ht="45.75" customHeight="1" x14ac:dyDescent="0.25">
      <c r="B7" s="34"/>
      <c r="C7" s="20"/>
      <c r="D7" s="13"/>
      <c r="E7" s="39" t="str">
        <f>IF(OR(E6&lt;=0,E6&gt;1), "Value out of range; re-enter value", " ")</f>
        <v xml:space="preserve"> </v>
      </c>
      <c r="F7" s="35"/>
      <c r="M7" s="2">
        <v>0.05</v>
      </c>
      <c r="N7" s="3">
        <f>1-(M7/2)</f>
        <v>0.97499999999999998</v>
      </c>
      <c r="O7" s="3">
        <v>1.96</v>
      </c>
    </row>
    <row r="8" spans="2:15" x14ac:dyDescent="0.25">
      <c r="B8" s="34"/>
      <c r="C8" s="76" t="s">
        <v>45</v>
      </c>
      <c r="D8" s="6" t="s">
        <v>47</v>
      </c>
      <c r="E8" s="99">
        <v>0.05</v>
      </c>
      <c r="F8" s="40" t="s">
        <v>13</v>
      </c>
      <c r="M8" s="3"/>
      <c r="N8" s="3"/>
    </row>
    <row r="9" spans="2:15" x14ac:dyDescent="0.25">
      <c r="B9" s="34"/>
      <c r="C9" s="13"/>
      <c r="D9" s="13"/>
      <c r="E9" s="30"/>
      <c r="F9" s="38"/>
      <c r="M9" s="3"/>
      <c r="N9" s="3"/>
    </row>
    <row r="10" spans="2:15" x14ac:dyDescent="0.25">
      <c r="B10" s="34"/>
      <c r="C10" s="75" t="s">
        <v>114</v>
      </c>
      <c r="D10" s="6" t="s">
        <v>5</v>
      </c>
      <c r="E10" s="20">
        <f>1-(E8/2)</f>
        <v>0.97499999999999998</v>
      </c>
      <c r="F10" s="35"/>
      <c r="M10" s="4" t="s">
        <v>38</v>
      </c>
      <c r="N10" s="4"/>
    </row>
    <row r="11" spans="2:15" x14ac:dyDescent="0.25">
      <c r="B11" s="34"/>
      <c r="C11" s="13"/>
      <c r="D11" s="13"/>
      <c r="E11" s="20"/>
      <c r="F11" s="35"/>
      <c r="M11" s="4"/>
      <c r="N11" s="4"/>
    </row>
    <row r="12" spans="2:15" ht="18" x14ac:dyDescent="0.35">
      <c r="B12" s="34"/>
      <c r="C12" s="41" t="s">
        <v>42</v>
      </c>
      <c r="D12" s="37" t="s">
        <v>48</v>
      </c>
      <c r="E12" s="19">
        <f>NORMSINV(E10)</f>
        <v>1.9599639845400536</v>
      </c>
      <c r="F12" s="35"/>
      <c r="M12" s="5">
        <v>0.05</v>
      </c>
      <c r="N12" s="4"/>
    </row>
    <row r="13" spans="2:15" x14ac:dyDescent="0.25">
      <c r="B13" s="34"/>
      <c r="C13" s="41"/>
      <c r="D13" s="13"/>
      <c r="E13" s="20"/>
      <c r="F13" s="35"/>
      <c r="M13" s="5">
        <v>0.06</v>
      </c>
      <c r="N13" s="4"/>
    </row>
    <row r="14" spans="2:15" x14ac:dyDescent="0.25">
      <c r="B14" s="34"/>
      <c r="C14" s="75" t="s">
        <v>38</v>
      </c>
      <c r="D14" s="37" t="s">
        <v>39</v>
      </c>
      <c r="E14" s="99">
        <v>0.05</v>
      </c>
      <c r="F14" s="40" t="s">
        <v>13</v>
      </c>
      <c r="M14" s="5">
        <v>7.0000000000000007E-2</v>
      </c>
      <c r="N14" s="4"/>
    </row>
    <row r="15" spans="2:15" x14ac:dyDescent="0.25">
      <c r="B15" s="34"/>
      <c r="C15" s="41"/>
      <c r="D15" s="13"/>
      <c r="E15" s="20"/>
      <c r="F15" s="35"/>
      <c r="M15" s="5">
        <v>0.08</v>
      </c>
      <c r="N15" s="4"/>
    </row>
    <row r="16" spans="2:15" ht="45" customHeight="1" x14ac:dyDescent="0.35">
      <c r="B16" s="34"/>
      <c r="C16" s="75" t="s">
        <v>108</v>
      </c>
      <c r="D16" s="37" t="s">
        <v>12</v>
      </c>
      <c r="E16" s="99">
        <v>2</v>
      </c>
      <c r="F16" s="38" t="s">
        <v>14</v>
      </c>
      <c r="M16" s="5">
        <v>0.09</v>
      </c>
    </row>
    <row r="17" spans="2:14" ht="45.75" customHeight="1" x14ac:dyDescent="0.25">
      <c r="B17" s="34"/>
      <c r="C17" s="20"/>
      <c r="D17" s="13"/>
      <c r="E17" s="39" t="str">
        <f>IF(OR(E16&lt;=0,E16&gt;10), "Value out of range; re-enter value", " ")</f>
        <v xml:space="preserve"> </v>
      </c>
      <c r="F17" s="35"/>
      <c r="M17" s="5">
        <v>0.1</v>
      </c>
    </row>
    <row r="18" spans="2:14" ht="18" x14ac:dyDescent="0.35">
      <c r="B18" s="34"/>
      <c r="C18" s="29" t="s">
        <v>21</v>
      </c>
      <c r="D18" s="42" t="s">
        <v>0</v>
      </c>
      <c r="E18" s="29">
        <f>ROUNDUP(N19/N20,0)</f>
        <v>769</v>
      </c>
      <c r="F18" s="35"/>
    </row>
    <row r="19" spans="2:14" x14ac:dyDescent="0.25">
      <c r="B19" s="34"/>
      <c r="C19" s="20"/>
      <c r="D19" s="13"/>
      <c r="E19" s="13"/>
      <c r="F19" s="35"/>
      <c r="M19" s="2" t="s">
        <v>40</v>
      </c>
      <c r="N19">
        <f>(E12^2)*E16*E6*(1-E6)</f>
        <v>1.9207294103470618</v>
      </c>
    </row>
    <row r="20" spans="2:14" ht="15.75" thickBot="1" x14ac:dyDescent="0.3">
      <c r="B20" s="48"/>
      <c r="C20" s="55"/>
      <c r="D20" s="49"/>
      <c r="E20" s="49"/>
      <c r="F20" s="50"/>
      <c r="M20" s="2" t="s">
        <v>41</v>
      </c>
      <c r="N20">
        <f>E14^2</f>
        <v>2.5000000000000005E-3</v>
      </c>
    </row>
    <row r="21" spans="2:14" ht="30" x14ac:dyDescent="0.25">
      <c r="B21" s="36" t="s">
        <v>23</v>
      </c>
      <c r="C21" s="20"/>
      <c r="D21" s="15" t="s">
        <v>90</v>
      </c>
      <c r="E21" s="16"/>
      <c r="F21" s="43"/>
    </row>
    <row r="22" spans="2:14" x14ac:dyDescent="0.25">
      <c r="B22" s="34"/>
      <c r="C22" s="20"/>
      <c r="D22" s="13"/>
      <c r="E22" s="13"/>
      <c r="F22" s="35"/>
      <c r="M22" t="s">
        <v>78</v>
      </c>
    </row>
    <row r="23" spans="2:14" x14ac:dyDescent="0.25">
      <c r="B23" s="34"/>
      <c r="C23" s="20"/>
      <c r="D23" s="13" t="s">
        <v>77</v>
      </c>
      <c r="E23" s="99" t="s">
        <v>78</v>
      </c>
      <c r="F23" s="40" t="s">
        <v>13</v>
      </c>
      <c r="M23" t="s">
        <v>79</v>
      </c>
    </row>
    <row r="24" spans="2:14" ht="61.5" customHeight="1" x14ac:dyDescent="0.25">
      <c r="B24" s="34"/>
      <c r="C24" s="20"/>
      <c r="D24" s="13"/>
      <c r="E24" s="59" t="str">
        <f>IF(E23="Household", "If household level indicator, skip to adjustment 2"," ")</f>
        <v xml:space="preserve"> </v>
      </c>
      <c r="F24" s="35"/>
    </row>
    <row r="25" spans="2:14" x14ac:dyDescent="0.25">
      <c r="B25" s="34"/>
      <c r="C25" s="20"/>
      <c r="D25" s="13" t="s">
        <v>93</v>
      </c>
      <c r="E25" s="13"/>
      <c r="F25" s="35"/>
    </row>
    <row r="26" spans="2:14" ht="39" x14ac:dyDescent="0.25">
      <c r="B26" s="34"/>
      <c r="C26" s="20"/>
      <c r="D26" s="17" t="s">
        <v>80</v>
      </c>
      <c r="E26" s="99">
        <v>0.16</v>
      </c>
      <c r="F26" s="38" t="s">
        <v>97</v>
      </c>
    </row>
    <row r="27" spans="2:14" ht="46.5" customHeight="1" x14ac:dyDescent="0.25">
      <c r="B27" s="34"/>
      <c r="C27" s="20"/>
      <c r="D27" s="17"/>
      <c r="E27" s="39" t="str">
        <f>IF(OR(E26&lt;=0,E26&gt;1), "Value out of range; re-enter value", " ")</f>
        <v xml:space="preserve"> </v>
      </c>
      <c r="F27" s="38"/>
    </row>
    <row r="28" spans="2:14" ht="39" x14ac:dyDescent="0.25">
      <c r="B28" s="34"/>
      <c r="C28" s="20"/>
      <c r="D28" s="17" t="s">
        <v>92</v>
      </c>
      <c r="E28" s="99">
        <v>5</v>
      </c>
      <c r="F28" s="38" t="s">
        <v>94</v>
      </c>
    </row>
    <row r="29" spans="2:14" ht="43.5" customHeight="1" x14ac:dyDescent="0.25">
      <c r="B29" s="34"/>
      <c r="C29" s="20"/>
      <c r="D29" s="14"/>
      <c r="E29" s="39" t="str">
        <f>IF(OR(E28&lt;1,E28&gt;10), "Value out of range; re-enter value", " ")</f>
        <v xml:space="preserve"> </v>
      </c>
      <c r="F29" s="35"/>
    </row>
    <row r="30" spans="2:14" ht="15.75" thickBot="1" x14ac:dyDescent="0.3">
      <c r="B30" s="34"/>
      <c r="C30" s="45" t="s">
        <v>85</v>
      </c>
      <c r="D30" s="17" t="s">
        <v>81</v>
      </c>
      <c r="E30" s="19">
        <f>E26*E28</f>
        <v>0.8</v>
      </c>
      <c r="F30" s="40"/>
    </row>
    <row r="31" spans="2:14" ht="28.5" customHeight="1" x14ac:dyDescent="0.25">
      <c r="B31" s="34"/>
      <c r="C31" s="20"/>
      <c r="D31" s="13"/>
      <c r="E31" s="20"/>
      <c r="F31" s="35"/>
      <c r="H31" s="112" t="s">
        <v>100</v>
      </c>
      <c r="I31" s="113"/>
      <c r="J31" s="113"/>
      <c r="K31" s="113"/>
      <c r="L31" s="114"/>
    </row>
    <row r="32" spans="2:14" ht="18" hidden="1" customHeight="1" x14ac:dyDescent="0.25">
      <c r="B32" s="34"/>
      <c r="C32" s="17" t="s">
        <v>82</v>
      </c>
      <c r="D32" s="13"/>
      <c r="E32" s="21">
        <f>$E$18/(1-(EXP(-1*$E$30)))</f>
        <v>1396.4780238844764</v>
      </c>
      <c r="F32" s="35"/>
      <c r="H32" s="60"/>
      <c r="I32" s="61"/>
      <c r="J32" s="61"/>
      <c r="K32" s="61"/>
      <c r="L32" s="62"/>
    </row>
    <row r="33" spans="2:12" ht="30" x14ac:dyDescent="0.25">
      <c r="B33" s="34"/>
      <c r="C33" s="17" t="s">
        <v>83</v>
      </c>
      <c r="D33" s="44" t="s">
        <v>84</v>
      </c>
      <c r="E33" s="21">
        <f>(1+$E$30)*EXP(-1*$E$30)*$E$32 + (1-((1+$E$30)*EXP(-1*$E$30)))*$E$32/2</f>
        <v>1262.9692334382671</v>
      </c>
      <c r="F33" s="35"/>
      <c r="H33" s="103"/>
      <c r="I33" s="104"/>
      <c r="J33" s="104"/>
      <c r="K33" s="104"/>
      <c r="L33" s="105"/>
    </row>
    <row r="34" spans="2:12" x14ac:dyDescent="0.25">
      <c r="B34" s="34"/>
      <c r="C34" s="20"/>
      <c r="D34" s="13"/>
      <c r="E34" s="20"/>
      <c r="F34" s="35"/>
      <c r="H34" s="103"/>
      <c r="I34" s="104"/>
      <c r="J34" s="104"/>
      <c r="K34" s="104"/>
      <c r="L34" s="105"/>
    </row>
    <row r="35" spans="2:12" ht="42" x14ac:dyDescent="0.25">
      <c r="B35" s="34"/>
      <c r="C35" s="28" t="s">
        <v>89</v>
      </c>
      <c r="D35" s="24" t="s">
        <v>91</v>
      </c>
      <c r="E35" s="23">
        <f>IF(E23="Household",E18,E33)</f>
        <v>1262.9692334382671</v>
      </c>
      <c r="F35" s="35"/>
      <c r="H35" s="103"/>
      <c r="I35" s="104"/>
      <c r="J35" s="104"/>
      <c r="K35" s="104"/>
      <c r="L35" s="105"/>
    </row>
    <row r="36" spans="2:12" ht="15.75" thickBot="1" x14ac:dyDescent="0.3">
      <c r="B36" s="34"/>
      <c r="C36" s="20"/>
      <c r="D36" s="13"/>
      <c r="E36" s="13"/>
      <c r="F36" s="35"/>
      <c r="H36" s="103"/>
      <c r="I36" s="104"/>
      <c r="J36" s="104"/>
      <c r="K36" s="104"/>
      <c r="L36" s="105"/>
    </row>
    <row r="37" spans="2:12" ht="31.5" x14ac:dyDescent="0.35">
      <c r="B37" s="51" t="s">
        <v>86</v>
      </c>
      <c r="C37" s="52"/>
      <c r="D37" s="56" t="s">
        <v>87</v>
      </c>
      <c r="E37" s="66"/>
      <c r="F37" s="67"/>
      <c r="H37" s="103"/>
      <c r="I37" s="104"/>
      <c r="J37" s="104"/>
      <c r="K37" s="104"/>
      <c r="L37" s="105"/>
    </row>
    <row r="38" spans="2:12" x14ac:dyDescent="0.25">
      <c r="B38" s="34"/>
      <c r="C38" s="13"/>
      <c r="D38" s="13"/>
      <c r="E38" s="13"/>
      <c r="F38" s="35"/>
      <c r="H38" s="103"/>
      <c r="I38" s="104"/>
      <c r="J38" s="104"/>
      <c r="K38" s="104"/>
      <c r="L38" s="105"/>
    </row>
    <row r="39" spans="2:12" ht="39" x14ac:dyDescent="0.25">
      <c r="B39" s="34"/>
      <c r="C39" s="13"/>
      <c r="D39" s="26" t="s">
        <v>122</v>
      </c>
      <c r="E39" s="100">
        <v>5</v>
      </c>
      <c r="F39" s="38" t="s">
        <v>95</v>
      </c>
      <c r="H39" s="103"/>
      <c r="I39" s="104"/>
      <c r="J39" s="104"/>
      <c r="K39" s="104"/>
      <c r="L39" s="105"/>
    </row>
    <row r="40" spans="2:12" ht="48" customHeight="1" x14ac:dyDescent="0.25">
      <c r="B40" s="34"/>
      <c r="C40" s="13"/>
      <c r="D40" s="26"/>
      <c r="E40" s="39" t="str">
        <f>IF(OR(E39&lt;0,E39&gt;=100), "Value out of range; re-enter value", " ")</f>
        <v xml:space="preserve"> </v>
      </c>
      <c r="F40" s="47"/>
      <c r="H40" s="103"/>
      <c r="I40" s="104"/>
      <c r="J40" s="104"/>
      <c r="K40" s="104"/>
      <c r="L40" s="105"/>
    </row>
    <row r="41" spans="2:12" ht="18" x14ac:dyDescent="0.35">
      <c r="B41" s="34"/>
      <c r="C41" s="42" t="s">
        <v>88</v>
      </c>
      <c r="D41" s="22" t="s">
        <v>96</v>
      </c>
      <c r="E41" s="27">
        <f>E35/(1-(E39/100))</f>
        <v>1329.4412983560708</v>
      </c>
      <c r="F41" s="35"/>
      <c r="H41" s="103"/>
      <c r="I41" s="104"/>
      <c r="J41" s="104"/>
      <c r="K41" s="104"/>
      <c r="L41" s="105"/>
    </row>
    <row r="42" spans="2:12" ht="15.75" thickBot="1" x14ac:dyDescent="0.3">
      <c r="B42" s="48"/>
      <c r="C42" s="49"/>
      <c r="D42" s="49"/>
      <c r="E42" s="49"/>
      <c r="F42" s="50"/>
      <c r="H42" s="106"/>
      <c r="I42" s="107"/>
      <c r="J42" s="107"/>
      <c r="K42" s="107"/>
      <c r="L42" s="108"/>
    </row>
    <row r="51" spans="2:6" ht="89.25" customHeight="1" x14ac:dyDescent="0.25">
      <c r="B51" s="118"/>
      <c r="C51" s="119"/>
      <c r="D51" s="119"/>
      <c r="E51" s="119"/>
      <c r="F51" s="119"/>
    </row>
  </sheetData>
  <sheetProtection algorithmName="SHA-512" hashValue="Nr9TLuhWOdGSulXq1NY17zujjCFyepw6scfQrCAxVfrj0Bbz3Ze/FypMIi2mvLH+9268rYAyldv6ADrRWkxELQ==" saltValue="I5VS6MTcWzXYTFCQ7EwLYA==" spinCount="100000" sheet="1" objects="1" scenarios="1" selectLockedCells="1"/>
  <mergeCells count="3">
    <mergeCell ref="H31:L31"/>
    <mergeCell ref="B5:F5"/>
    <mergeCell ref="B51:F51"/>
  </mergeCells>
  <conditionalFormatting sqref="E26">
    <cfRule type="expression" dxfId="29" priority="5">
      <formula>E23="Household"</formula>
    </cfRule>
  </conditionalFormatting>
  <conditionalFormatting sqref="E28">
    <cfRule type="expression" dxfId="28" priority="4">
      <formula>E23="Household"</formula>
    </cfRule>
  </conditionalFormatting>
  <conditionalFormatting sqref="E30">
    <cfRule type="expression" dxfId="27" priority="3">
      <formula>E23="Household"</formula>
    </cfRule>
  </conditionalFormatting>
  <conditionalFormatting sqref="E32:E33">
    <cfRule type="expression" dxfId="26" priority="2">
      <formula>E23="Household"</formula>
    </cfRule>
  </conditionalFormatting>
  <conditionalFormatting sqref="E33">
    <cfRule type="expression" dxfId="25" priority="1">
      <formula>E23="Household"</formula>
    </cfRule>
  </conditionalFormatting>
  <dataValidations count="3">
    <dataValidation type="list" allowBlank="1" showInputMessage="1" showErrorMessage="1" sqref="E14">
      <formula1>$M$12:$M$17</formula1>
    </dataValidation>
    <dataValidation type="list" allowBlank="1" showInputMessage="1" showErrorMessage="1" sqref="E8">
      <formula1>$M$6:$M$7</formula1>
    </dataValidation>
    <dataValidation type="list" allowBlank="1" showInputMessage="1" showErrorMessage="1" sqref="E23">
      <formula1>$M$22:$M$23</formula1>
    </dataValidation>
  </dataValidations>
  <pageMargins left="0.7" right="0.7" top="0.75" bottom="0.75" header="0.3" footer="0.3"/>
  <pageSetup orientation="portrait"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67"/>
  <sheetViews>
    <sheetView showGridLines="0" workbookViewId="0">
      <selection activeCell="E8" sqref="E8"/>
    </sheetView>
  </sheetViews>
  <sheetFormatPr defaultRowHeight="15" x14ac:dyDescent="0.25"/>
  <cols>
    <col min="2" max="2" width="19.42578125" customWidth="1"/>
    <col min="3" max="3" width="10.85546875" customWidth="1"/>
    <col min="4" max="4" width="50.140625" customWidth="1"/>
    <col min="5" max="5" width="14.85546875" customWidth="1"/>
    <col min="6" max="6" width="18.140625" customWidth="1"/>
    <col min="13" max="13" width="15.42578125" hidden="1" customWidth="1"/>
    <col min="14" max="14" width="16.7109375" hidden="1" customWidth="1"/>
    <col min="15" max="15" width="9.140625" hidden="1" customWidth="1"/>
  </cols>
  <sheetData>
    <row r="4" spans="1:15" ht="15.75" thickBot="1" x14ac:dyDescent="0.3"/>
    <row r="5" spans="1:15" x14ac:dyDescent="0.25">
      <c r="B5" s="31"/>
      <c r="C5" s="32"/>
      <c r="D5" s="32"/>
      <c r="E5" s="32"/>
      <c r="F5" s="33"/>
    </row>
    <row r="6" spans="1:15" ht="18" customHeight="1" x14ac:dyDescent="0.25">
      <c r="A6" s="78"/>
      <c r="B6" s="77" t="s">
        <v>105</v>
      </c>
      <c r="C6" s="13"/>
      <c r="D6" s="13"/>
      <c r="E6" s="13"/>
      <c r="F6" s="35"/>
    </row>
    <row r="7" spans="1:15" ht="18.75" customHeight="1" thickBot="1" x14ac:dyDescent="0.4">
      <c r="B7" s="115" t="s">
        <v>126</v>
      </c>
      <c r="C7" s="116"/>
      <c r="D7" s="116"/>
      <c r="E7" s="116"/>
      <c r="F7" s="117"/>
      <c r="M7" s="8" t="s">
        <v>45</v>
      </c>
      <c r="N7" s="4" t="s">
        <v>43</v>
      </c>
      <c r="O7" s="4" t="s">
        <v>44</v>
      </c>
    </row>
    <row r="8" spans="1:15" ht="31.5" customHeight="1" x14ac:dyDescent="0.25">
      <c r="B8" s="36" t="s">
        <v>22</v>
      </c>
      <c r="D8" s="37" t="s">
        <v>56</v>
      </c>
      <c r="E8" s="99">
        <v>4</v>
      </c>
      <c r="F8" s="54" t="s">
        <v>74</v>
      </c>
      <c r="M8" s="2">
        <v>0.1</v>
      </c>
      <c r="N8" s="3">
        <f>1-(M8/2)</f>
        <v>0.95</v>
      </c>
      <c r="O8" s="2">
        <v>1.64</v>
      </c>
    </row>
    <row r="9" spans="1:15" ht="43.5" customHeight="1" x14ac:dyDescent="0.25">
      <c r="B9" s="34"/>
      <c r="C9" s="45"/>
      <c r="D9" s="13"/>
      <c r="E9" s="39" t="str">
        <f>IF(OR(E8&lt;=0, ISTEXT(E8)), "Value out of range; re-enter value", " ")</f>
        <v xml:space="preserve"> </v>
      </c>
      <c r="F9" s="38"/>
      <c r="M9" s="2">
        <v>0.05</v>
      </c>
      <c r="N9" s="3">
        <f>1-(M9/2)</f>
        <v>0.97499999999999998</v>
      </c>
      <c r="O9" s="3">
        <v>1.96</v>
      </c>
    </row>
    <row r="10" spans="1:15" x14ac:dyDescent="0.25">
      <c r="B10" s="34"/>
      <c r="C10" s="45"/>
      <c r="D10" s="13" t="s">
        <v>28</v>
      </c>
      <c r="E10" s="99" t="s">
        <v>35</v>
      </c>
      <c r="F10" s="40" t="s">
        <v>13</v>
      </c>
      <c r="M10" s="3"/>
      <c r="N10" s="3"/>
    </row>
    <row r="11" spans="1:15" x14ac:dyDescent="0.25">
      <c r="B11" s="34"/>
      <c r="C11" s="45"/>
      <c r="D11" s="13"/>
      <c r="E11" s="30"/>
      <c r="F11" s="38"/>
      <c r="M11" s="3"/>
      <c r="N11" s="3"/>
    </row>
    <row r="12" spans="1:15" ht="24.75" customHeight="1" x14ac:dyDescent="0.25">
      <c r="B12" s="34"/>
      <c r="D12" s="6" t="s">
        <v>29</v>
      </c>
      <c r="E12" s="101">
        <v>0.5</v>
      </c>
      <c r="F12" s="64" t="s">
        <v>74</v>
      </c>
      <c r="M12" s="3" t="s">
        <v>34</v>
      </c>
      <c r="N12" s="3"/>
    </row>
    <row r="13" spans="1:15" ht="43.5" customHeight="1" x14ac:dyDescent="0.25">
      <c r="B13" s="34"/>
      <c r="C13" s="45"/>
      <c r="D13" s="13"/>
      <c r="E13" s="39" t="str">
        <f>IF(OR(E12&lt;=0,ISTEXT(E12)),"Value out of range; re-enter value", " ")</f>
        <v xml:space="preserve"> </v>
      </c>
      <c r="F13" s="38"/>
      <c r="M13" s="3" t="s">
        <v>35</v>
      </c>
      <c r="N13" s="3"/>
    </row>
    <row r="14" spans="1:15" x14ac:dyDescent="0.25">
      <c r="B14" s="34"/>
      <c r="C14" s="45"/>
      <c r="D14" s="6" t="s">
        <v>30</v>
      </c>
      <c r="E14" s="30"/>
      <c r="F14" s="38"/>
      <c r="M14" s="3"/>
      <c r="N14" s="3"/>
    </row>
    <row r="15" spans="1:15" x14ac:dyDescent="0.25">
      <c r="B15" s="34"/>
      <c r="C15" s="45"/>
      <c r="D15" s="13"/>
      <c r="E15" s="30"/>
      <c r="F15" s="38"/>
      <c r="M15" s="3"/>
      <c r="N15" s="3"/>
    </row>
    <row r="16" spans="1:15" ht="28.5" customHeight="1" x14ac:dyDescent="0.25">
      <c r="B16" s="34"/>
      <c r="C16" s="74" t="s">
        <v>31</v>
      </c>
      <c r="D16" s="7" t="s">
        <v>36</v>
      </c>
      <c r="E16" s="99">
        <v>4</v>
      </c>
      <c r="F16" s="64" t="s">
        <v>74</v>
      </c>
      <c r="N16" s="3"/>
    </row>
    <row r="17" spans="2:14" ht="47.25" customHeight="1" x14ac:dyDescent="0.25">
      <c r="B17" s="34"/>
      <c r="C17" s="45"/>
      <c r="D17" s="13"/>
      <c r="E17" s="39" t="str">
        <f>IF(OR(E16&lt;=0,ISTEXT(E16)), "Value out of range; re-enter value", " ")</f>
        <v xml:space="preserve"> </v>
      </c>
      <c r="F17" s="38"/>
      <c r="N17" s="3"/>
    </row>
    <row r="18" spans="2:14" ht="64.5" x14ac:dyDescent="0.25">
      <c r="B18" s="34"/>
      <c r="C18" s="74" t="s">
        <v>32</v>
      </c>
      <c r="D18" s="7" t="s">
        <v>101</v>
      </c>
      <c r="E18" s="99">
        <v>0</v>
      </c>
      <c r="F18" s="64" t="s">
        <v>132</v>
      </c>
    </row>
    <row r="19" spans="2:14" ht="48" customHeight="1" x14ac:dyDescent="0.25">
      <c r="B19" s="34"/>
      <c r="C19" s="20"/>
      <c r="D19" s="13"/>
      <c r="E19" s="39" t="str">
        <f>IF(OR(OR(E18&lt;0,E16&lt;=E18), ISTEXT(E18)), "Value out of range; re-enter value", " ")</f>
        <v xml:space="preserve"> </v>
      </c>
      <c r="F19" s="35"/>
    </row>
    <row r="20" spans="2:14" x14ac:dyDescent="0.25">
      <c r="B20" s="34"/>
      <c r="D20" s="9" t="s">
        <v>33</v>
      </c>
      <c r="E20" s="19">
        <f>IF(E10="YES", E12, (E16-E18)/6)</f>
        <v>0.66666666666666663</v>
      </c>
      <c r="F20" s="35"/>
    </row>
    <row r="21" spans="2:14" x14ac:dyDescent="0.25">
      <c r="B21" s="34"/>
      <c r="C21" s="20"/>
      <c r="D21" s="13"/>
      <c r="E21" s="20"/>
      <c r="F21" s="35"/>
    </row>
    <row r="22" spans="2:14" x14ac:dyDescent="0.25">
      <c r="B22" s="34"/>
      <c r="C22" s="76" t="s">
        <v>45</v>
      </c>
      <c r="D22" s="6" t="s">
        <v>47</v>
      </c>
      <c r="E22" s="99">
        <v>0.05</v>
      </c>
      <c r="F22" s="40" t="s">
        <v>13</v>
      </c>
    </row>
    <row r="23" spans="2:14" x14ac:dyDescent="0.25">
      <c r="B23" s="34"/>
      <c r="C23" s="13"/>
      <c r="D23" s="13"/>
      <c r="E23" s="20"/>
      <c r="F23" s="35"/>
    </row>
    <row r="24" spans="2:14" x14ac:dyDescent="0.25">
      <c r="B24" s="34"/>
      <c r="C24" s="75" t="s">
        <v>114</v>
      </c>
      <c r="D24" s="6" t="s">
        <v>5</v>
      </c>
      <c r="E24" s="20">
        <f>1-(E22/2)</f>
        <v>0.97499999999999998</v>
      </c>
      <c r="F24" s="35"/>
      <c r="M24" s="4" t="s">
        <v>38</v>
      </c>
      <c r="N24" s="4"/>
    </row>
    <row r="25" spans="2:14" x14ac:dyDescent="0.25">
      <c r="B25" s="34"/>
      <c r="C25" s="13"/>
      <c r="D25" s="13"/>
      <c r="E25" s="20"/>
      <c r="F25" s="35"/>
      <c r="M25" s="4"/>
      <c r="N25" s="4"/>
    </row>
    <row r="26" spans="2:14" ht="18" x14ac:dyDescent="0.35">
      <c r="B26" s="34"/>
      <c r="C26" s="41" t="s">
        <v>42</v>
      </c>
      <c r="D26" s="37" t="s">
        <v>48</v>
      </c>
      <c r="E26" s="19">
        <f>NORMSINV(E24)</f>
        <v>1.9599639845400536</v>
      </c>
      <c r="F26" s="35"/>
      <c r="M26" s="5">
        <v>0.05</v>
      </c>
    </row>
    <row r="27" spans="2:14" x14ac:dyDescent="0.25">
      <c r="B27" s="34"/>
      <c r="C27" s="41"/>
      <c r="D27" s="13"/>
      <c r="E27" s="19"/>
      <c r="F27" s="35"/>
      <c r="M27" s="5">
        <v>0.06</v>
      </c>
    </row>
    <row r="28" spans="2:14" x14ac:dyDescent="0.25">
      <c r="B28" s="34"/>
      <c r="C28" s="41"/>
      <c r="D28" s="6" t="s">
        <v>46</v>
      </c>
      <c r="E28" s="101">
        <v>0.05</v>
      </c>
      <c r="F28" s="40" t="s">
        <v>13</v>
      </c>
      <c r="M28" s="5">
        <v>7.0000000000000007E-2</v>
      </c>
    </row>
    <row r="29" spans="2:14" x14ac:dyDescent="0.25">
      <c r="B29" s="34"/>
      <c r="C29" s="41"/>
      <c r="D29" s="13"/>
      <c r="E29" s="20"/>
      <c r="F29" s="35"/>
      <c r="M29" s="5">
        <v>0.08</v>
      </c>
    </row>
    <row r="30" spans="2:14" x14ac:dyDescent="0.25">
      <c r="B30" s="34"/>
      <c r="C30" s="75" t="s">
        <v>38</v>
      </c>
      <c r="D30" s="37" t="s">
        <v>57</v>
      </c>
      <c r="E30" s="20">
        <f>E28*E8</f>
        <v>0.2</v>
      </c>
      <c r="F30" s="35"/>
      <c r="M30" s="5">
        <v>0.09</v>
      </c>
    </row>
    <row r="31" spans="2:14" x14ac:dyDescent="0.25">
      <c r="B31" s="34"/>
      <c r="C31" s="20"/>
      <c r="D31" s="13"/>
      <c r="E31" s="20"/>
      <c r="F31" s="35"/>
      <c r="M31" s="5">
        <v>0.1</v>
      </c>
    </row>
    <row r="32" spans="2:14" ht="45" customHeight="1" x14ac:dyDescent="0.35">
      <c r="B32" s="34"/>
      <c r="C32" s="75" t="s">
        <v>108</v>
      </c>
      <c r="D32" s="37" t="s">
        <v>12</v>
      </c>
      <c r="E32" s="99">
        <v>2</v>
      </c>
      <c r="F32" s="38" t="s">
        <v>14</v>
      </c>
    </row>
    <row r="33" spans="2:14" ht="50.25" customHeight="1" x14ac:dyDescent="0.25">
      <c r="B33" s="34"/>
      <c r="C33" s="20"/>
      <c r="D33" s="13"/>
      <c r="E33" s="39" t="str">
        <f>IF(OR(E32&lt;=0,E32&gt;10), "Value out of range; re-enter value", " ")</f>
        <v xml:space="preserve"> </v>
      </c>
      <c r="F33" s="35"/>
      <c r="M33" t="s">
        <v>53</v>
      </c>
      <c r="N33" s="10">
        <f>(E26^2)*E32*(E20^2)</f>
        <v>3.4146300628392208</v>
      </c>
    </row>
    <row r="34" spans="2:14" ht="18" x14ac:dyDescent="0.35">
      <c r="B34" s="34"/>
      <c r="C34" s="29" t="s">
        <v>21</v>
      </c>
      <c r="D34" s="42" t="s">
        <v>0</v>
      </c>
      <c r="E34" s="29">
        <f>ROUNDUP(N33/N34,0)</f>
        <v>86</v>
      </c>
      <c r="F34" s="35"/>
      <c r="M34" t="s">
        <v>54</v>
      </c>
      <c r="N34">
        <f>E30^2</f>
        <v>4.0000000000000008E-2</v>
      </c>
    </row>
    <row r="35" spans="2:14" x14ac:dyDescent="0.25">
      <c r="B35" s="34"/>
      <c r="C35" s="20"/>
      <c r="D35" s="13"/>
      <c r="E35" s="13"/>
      <c r="F35" s="35"/>
    </row>
    <row r="36" spans="2:14" ht="15.75" thickBot="1" x14ac:dyDescent="0.3">
      <c r="B36" s="48"/>
      <c r="C36" s="63"/>
      <c r="D36" s="49"/>
      <c r="E36" s="49"/>
      <c r="F36" s="50"/>
    </row>
    <row r="37" spans="2:14" ht="30" x14ac:dyDescent="0.25">
      <c r="B37" s="36" t="s">
        <v>23</v>
      </c>
      <c r="C37" s="20"/>
      <c r="D37" s="15" t="s">
        <v>90</v>
      </c>
      <c r="E37" s="16"/>
      <c r="F37" s="43"/>
      <c r="M37" t="s">
        <v>78</v>
      </c>
    </row>
    <row r="38" spans="2:14" x14ac:dyDescent="0.25">
      <c r="B38" s="34"/>
      <c r="C38" s="20"/>
      <c r="D38" s="13"/>
      <c r="E38" s="13"/>
      <c r="F38" s="35"/>
      <c r="M38" t="s">
        <v>79</v>
      </c>
    </row>
    <row r="39" spans="2:14" x14ac:dyDescent="0.25">
      <c r="B39" s="34"/>
      <c r="C39" s="20"/>
      <c r="D39" s="13" t="s">
        <v>77</v>
      </c>
      <c r="E39" s="99" t="s">
        <v>78</v>
      </c>
      <c r="F39" s="40" t="s">
        <v>13</v>
      </c>
    </row>
    <row r="40" spans="2:14" ht="60.75" customHeight="1" x14ac:dyDescent="0.25">
      <c r="B40" s="34"/>
      <c r="C40" s="20"/>
      <c r="D40" s="13"/>
      <c r="E40" s="59" t="str">
        <f>IF(E39="Household", "If household level indicator, skip to adjustment 2"," ")</f>
        <v xml:space="preserve"> </v>
      </c>
      <c r="F40" s="35"/>
    </row>
    <row r="41" spans="2:14" x14ac:dyDescent="0.25">
      <c r="B41" s="34"/>
      <c r="C41" s="20"/>
      <c r="D41" s="13" t="s">
        <v>93</v>
      </c>
      <c r="E41" s="13"/>
      <c r="F41" s="35"/>
    </row>
    <row r="42" spans="2:14" ht="39" x14ac:dyDescent="0.25">
      <c r="B42" s="34"/>
      <c r="C42" s="20"/>
      <c r="D42" s="17" t="s">
        <v>80</v>
      </c>
      <c r="E42" s="99">
        <v>0.18</v>
      </c>
      <c r="F42" s="38" t="s">
        <v>97</v>
      </c>
    </row>
    <row r="43" spans="2:14" ht="42.75" customHeight="1" x14ac:dyDescent="0.25">
      <c r="B43" s="34"/>
      <c r="C43" s="20"/>
      <c r="D43" s="17"/>
      <c r="E43" s="39" t="str">
        <f>IF(OR(E42&lt;=0,E42&gt;1), "Value out of range; re-enter value", " ")</f>
        <v xml:space="preserve"> </v>
      </c>
      <c r="F43" s="38"/>
    </row>
    <row r="44" spans="2:14" ht="52.5" customHeight="1" x14ac:dyDescent="0.25">
      <c r="B44" s="34"/>
      <c r="C44" s="20"/>
      <c r="D44" s="17" t="s">
        <v>92</v>
      </c>
      <c r="E44" s="99">
        <v>5</v>
      </c>
      <c r="F44" s="38" t="s">
        <v>94</v>
      </c>
    </row>
    <row r="45" spans="2:14" ht="47.25" customHeight="1" x14ac:dyDescent="0.25">
      <c r="B45" s="34"/>
      <c r="C45" s="20"/>
      <c r="D45" s="14"/>
      <c r="E45" s="39" t="str">
        <f>IF(OR(E44&lt;1,E44&gt;10), "Value out of range; re-enter value", " ")</f>
        <v xml:space="preserve"> </v>
      </c>
      <c r="F45" s="35"/>
    </row>
    <row r="46" spans="2:14" ht="15.75" thickBot="1" x14ac:dyDescent="0.3">
      <c r="B46" s="34"/>
      <c r="C46" s="45" t="s">
        <v>85</v>
      </c>
      <c r="D46" s="17" t="s">
        <v>81</v>
      </c>
      <c r="E46" s="19">
        <f>E42*E44</f>
        <v>0.89999999999999991</v>
      </c>
      <c r="F46" s="40"/>
    </row>
    <row r="47" spans="2:14" ht="30" customHeight="1" x14ac:dyDescent="0.25">
      <c r="B47" s="34"/>
      <c r="C47" s="20"/>
      <c r="D47" s="13"/>
      <c r="E47" s="20"/>
      <c r="F47" s="35"/>
      <c r="H47" s="112" t="s">
        <v>100</v>
      </c>
      <c r="I47" s="113"/>
      <c r="J47" s="113"/>
      <c r="K47" s="113"/>
      <c r="L47" s="114"/>
    </row>
    <row r="48" spans="2:14" ht="18" hidden="1" x14ac:dyDescent="0.25">
      <c r="B48" s="34"/>
      <c r="C48" s="17" t="s">
        <v>82</v>
      </c>
      <c r="D48" s="13"/>
      <c r="E48" s="21">
        <f>$E$18/(1-(EXP(-1*$E$30)))</f>
        <v>0</v>
      </c>
      <c r="F48" s="35"/>
      <c r="H48" s="60"/>
      <c r="I48" s="61"/>
      <c r="J48" s="61"/>
      <c r="K48" s="61"/>
      <c r="L48" s="62"/>
    </row>
    <row r="49" spans="2:12" ht="30" x14ac:dyDescent="0.25">
      <c r="B49" s="34"/>
      <c r="C49" s="17" t="s">
        <v>83</v>
      </c>
      <c r="D49" s="44" t="s">
        <v>84</v>
      </c>
      <c r="E49" s="21">
        <f>(1+$E$30)*EXP(-1*$E$30)*$E$32 + (1-((1+$E$30)*EXP(-1*$E$30)))*$E$32/2</f>
        <v>1.9824769036935781</v>
      </c>
      <c r="F49" s="35"/>
      <c r="H49" s="103"/>
      <c r="I49" s="104"/>
      <c r="J49" s="104"/>
      <c r="K49" s="104"/>
      <c r="L49" s="105"/>
    </row>
    <row r="50" spans="2:12" x14ac:dyDescent="0.25">
      <c r="B50" s="34"/>
      <c r="C50" s="20"/>
      <c r="D50" s="13"/>
      <c r="E50" s="20"/>
      <c r="F50" s="35"/>
      <c r="H50" s="103"/>
      <c r="I50" s="104"/>
      <c r="J50" s="104"/>
      <c r="K50" s="104"/>
      <c r="L50" s="105"/>
    </row>
    <row r="51" spans="2:12" ht="36" x14ac:dyDescent="0.3">
      <c r="B51" s="34"/>
      <c r="C51" s="28" t="s">
        <v>89</v>
      </c>
      <c r="D51" s="24" t="s">
        <v>91</v>
      </c>
      <c r="E51" s="23">
        <f>IF(E39="Household",E34,E49)</f>
        <v>1.9824769036935781</v>
      </c>
      <c r="F51" s="35"/>
      <c r="H51" s="103"/>
      <c r="I51" s="104"/>
      <c r="J51" s="104"/>
      <c r="K51" s="104"/>
      <c r="L51" s="105"/>
    </row>
    <row r="52" spans="2:12" ht="15.75" thickBot="1" x14ac:dyDescent="0.3">
      <c r="B52" s="34"/>
      <c r="C52" s="20"/>
      <c r="D52" s="13"/>
      <c r="E52" s="13"/>
      <c r="F52" s="35"/>
      <c r="H52" s="103"/>
      <c r="I52" s="104"/>
      <c r="J52" s="104"/>
      <c r="K52" s="104"/>
      <c r="L52" s="105"/>
    </row>
    <row r="53" spans="2:12" ht="31.5" x14ac:dyDescent="0.35">
      <c r="B53" s="51" t="s">
        <v>86</v>
      </c>
      <c r="C53" s="52"/>
      <c r="D53" s="56" t="s">
        <v>87</v>
      </c>
      <c r="E53" s="66"/>
      <c r="F53" s="67"/>
      <c r="H53" s="103"/>
      <c r="I53" s="104"/>
      <c r="J53" s="104"/>
      <c r="K53" s="104"/>
      <c r="L53" s="105"/>
    </row>
    <row r="54" spans="2:12" x14ac:dyDescent="0.25">
      <c r="B54" s="34"/>
      <c r="C54" s="13"/>
      <c r="D54" s="13"/>
      <c r="E54" s="13"/>
      <c r="F54" s="35"/>
      <c r="H54" s="103"/>
      <c r="I54" s="104"/>
      <c r="J54" s="104"/>
      <c r="K54" s="104"/>
      <c r="L54" s="105"/>
    </row>
    <row r="55" spans="2:12" ht="39" x14ac:dyDescent="0.25">
      <c r="B55" s="34"/>
      <c r="C55" s="13"/>
      <c r="D55" s="26" t="s">
        <v>122</v>
      </c>
      <c r="E55" s="100">
        <v>5</v>
      </c>
      <c r="F55" s="38" t="s">
        <v>95</v>
      </c>
      <c r="H55" s="103"/>
      <c r="I55" s="104"/>
      <c r="J55" s="104"/>
      <c r="K55" s="104"/>
      <c r="L55" s="105"/>
    </row>
    <row r="56" spans="2:12" ht="46.5" customHeight="1" x14ac:dyDescent="0.25">
      <c r="B56" s="34"/>
      <c r="C56" s="13"/>
      <c r="D56" s="26"/>
      <c r="E56" s="39" t="str">
        <f>IF(OR(E55&lt;0,E55&gt;=100), "Value out of range; re-enter value", " ")</f>
        <v xml:space="preserve"> </v>
      </c>
      <c r="F56" s="47"/>
      <c r="H56" s="103"/>
      <c r="I56" s="104"/>
      <c r="J56" s="104"/>
      <c r="K56" s="104"/>
      <c r="L56" s="105"/>
    </row>
    <row r="57" spans="2:12" ht="18" x14ac:dyDescent="0.35">
      <c r="B57" s="34"/>
      <c r="C57" s="42" t="s">
        <v>88</v>
      </c>
      <c r="D57" s="22" t="s">
        <v>96</v>
      </c>
      <c r="E57" s="27">
        <f>E51/(1-(E55/100))</f>
        <v>2.0868177933616612</v>
      </c>
      <c r="F57" s="35"/>
      <c r="H57" s="103"/>
      <c r="I57" s="104"/>
      <c r="J57" s="104"/>
      <c r="K57" s="104"/>
      <c r="L57" s="105"/>
    </row>
    <row r="58" spans="2:12" ht="15.75" thickBot="1" x14ac:dyDescent="0.3">
      <c r="B58" s="48"/>
      <c r="C58" s="49"/>
      <c r="D58" s="49"/>
      <c r="E58" s="49"/>
      <c r="F58" s="50"/>
      <c r="H58" s="106"/>
      <c r="I58" s="107"/>
      <c r="J58" s="107"/>
      <c r="K58" s="107"/>
      <c r="L58" s="108"/>
    </row>
    <row r="67" spans="2:6" ht="90.75" customHeight="1" x14ac:dyDescent="0.25">
      <c r="B67" s="118"/>
      <c r="C67" s="119"/>
      <c r="D67" s="119"/>
      <c r="E67" s="119"/>
      <c r="F67" s="119"/>
    </row>
  </sheetData>
  <sheetProtection algorithmName="SHA-512" hashValue="oLC0XxvgGR/ZXSM5V/Vt3+eLsWT00BT/NNCAipJyiryq52tddVpxy8iVEdzd5BSnj/GcMZEdtqEBQxrn0iMIiA==" saltValue="3wmts75ZNArteLX+nqd4WQ==" spinCount="100000" sheet="1" objects="1" scenarios="1" selectLockedCells="1"/>
  <mergeCells count="3">
    <mergeCell ref="B7:F7"/>
    <mergeCell ref="H47:L47"/>
    <mergeCell ref="B67:F67"/>
  </mergeCells>
  <conditionalFormatting sqref="E12">
    <cfRule type="expression" dxfId="24" priority="16">
      <formula>E10="NO"</formula>
    </cfRule>
  </conditionalFormatting>
  <conditionalFormatting sqref="E16">
    <cfRule type="expression" dxfId="23" priority="15">
      <formula>E10="YES"</formula>
    </cfRule>
  </conditionalFormatting>
  <conditionalFormatting sqref="E18">
    <cfRule type="expression" dxfId="22" priority="14">
      <formula>E10="YES"</formula>
    </cfRule>
  </conditionalFormatting>
  <conditionalFormatting sqref="E42">
    <cfRule type="expression" dxfId="21" priority="8">
      <formula>E39="Household"</formula>
    </cfRule>
  </conditionalFormatting>
  <conditionalFormatting sqref="E44">
    <cfRule type="expression" dxfId="20" priority="7">
      <formula>E39="Household"</formula>
    </cfRule>
  </conditionalFormatting>
  <conditionalFormatting sqref="E46">
    <cfRule type="expression" dxfId="19" priority="6">
      <formula>E39="Household"</formula>
    </cfRule>
  </conditionalFormatting>
  <conditionalFormatting sqref="E48:E49">
    <cfRule type="expression" dxfId="18" priority="5">
      <formula>E39="Household"</formula>
    </cfRule>
  </conditionalFormatting>
  <conditionalFormatting sqref="E49">
    <cfRule type="expression" dxfId="17" priority="4">
      <formula>E39="Household"</formula>
    </cfRule>
  </conditionalFormatting>
  <conditionalFormatting sqref="F12">
    <cfRule type="expression" dxfId="16" priority="3">
      <formula>E10="NO"</formula>
    </cfRule>
  </conditionalFormatting>
  <conditionalFormatting sqref="F16">
    <cfRule type="expression" dxfId="15" priority="2">
      <formula>E10="YES"</formula>
    </cfRule>
  </conditionalFormatting>
  <conditionalFormatting sqref="F18">
    <cfRule type="expression" dxfId="14" priority="1">
      <formula>E10="YES"</formula>
    </cfRule>
  </conditionalFormatting>
  <dataValidations count="4">
    <dataValidation type="list" allowBlank="1" showInputMessage="1" showErrorMessage="1" sqref="E10">
      <formula1>$M$12:$M$13</formula1>
    </dataValidation>
    <dataValidation type="list" allowBlank="1" showInputMessage="1" showErrorMessage="1" sqref="E22">
      <formula1>$M$8:$M$9</formula1>
    </dataValidation>
    <dataValidation type="list" allowBlank="1" showInputMessage="1" showErrorMessage="1" sqref="E28">
      <formula1>$M$26:$M$31</formula1>
    </dataValidation>
    <dataValidation type="list" allowBlank="1" showInputMessage="1" showErrorMessage="1" sqref="E39">
      <formula1>$M$37:$M$38</formula1>
    </dataValidation>
  </dataValidations>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57"/>
  <sheetViews>
    <sheetView showGridLines="0" workbookViewId="0">
      <selection activeCell="E7" sqref="E7"/>
    </sheetView>
  </sheetViews>
  <sheetFormatPr defaultRowHeight="15" x14ac:dyDescent="0.25"/>
  <cols>
    <col min="2" max="2" width="19.42578125" customWidth="1"/>
    <col min="3" max="3" width="10.85546875" customWidth="1"/>
    <col min="4" max="4" width="53" customWidth="1"/>
    <col min="5" max="5" width="18.42578125" customWidth="1"/>
    <col min="6" max="6" width="18" customWidth="1"/>
    <col min="13" max="13" width="15.42578125" hidden="1" customWidth="1"/>
    <col min="14" max="14" width="0" hidden="1" customWidth="1"/>
  </cols>
  <sheetData>
    <row r="3" spans="2:14" ht="15.75" thickBot="1" x14ac:dyDescent="0.3"/>
    <row r="4" spans="2:14" x14ac:dyDescent="0.25">
      <c r="B4" s="31"/>
      <c r="C4" s="32"/>
      <c r="D4" s="32"/>
      <c r="E4" s="32"/>
      <c r="F4" s="33"/>
    </row>
    <row r="5" spans="2:14" ht="17.25" x14ac:dyDescent="0.3">
      <c r="B5" s="120" t="s">
        <v>106</v>
      </c>
      <c r="C5" s="121"/>
      <c r="D5" s="121"/>
      <c r="E5" s="121"/>
      <c r="F5" s="122"/>
    </row>
    <row r="6" spans="2:14" ht="15.75" thickBot="1" x14ac:dyDescent="0.3">
      <c r="B6" s="115" t="s">
        <v>127</v>
      </c>
      <c r="C6" s="116"/>
      <c r="D6" s="116"/>
      <c r="E6" s="116"/>
      <c r="F6" s="117"/>
    </row>
    <row r="7" spans="2:14" ht="31.5" x14ac:dyDescent="0.35">
      <c r="B7" s="70" t="s">
        <v>76</v>
      </c>
      <c r="C7" s="71" t="s">
        <v>59</v>
      </c>
      <c r="D7" s="72" t="s">
        <v>66</v>
      </c>
      <c r="E7" s="102">
        <v>1000</v>
      </c>
      <c r="F7" s="73" t="s">
        <v>74</v>
      </c>
    </row>
    <row r="8" spans="2:14" ht="50.25" customHeight="1" x14ac:dyDescent="0.35">
      <c r="B8" s="34"/>
      <c r="C8" s="13"/>
      <c r="D8" s="13"/>
      <c r="E8" s="39" t="str">
        <f>IF(OR(E7&lt;=0,ISTEXT(E7)), "Value out of range; re-enter value", " ")</f>
        <v xml:space="preserve"> </v>
      </c>
      <c r="F8" s="35"/>
      <c r="M8" s="4" t="s">
        <v>8</v>
      </c>
      <c r="N8" s="1" t="s">
        <v>9</v>
      </c>
    </row>
    <row r="9" spans="2:14" ht="44.25" customHeight="1" x14ac:dyDescent="0.35">
      <c r="B9" s="34"/>
      <c r="C9" s="20" t="s">
        <v>58</v>
      </c>
      <c r="D9" s="37" t="s">
        <v>62</v>
      </c>
      <c r="E9" s="99">
        <v>0.5</v>
      </c>
      <c r="F9" s="38" t="s">
        <v>97</v>
      </c>
      <c r="M9" s="3">
        <v>0.9</v>
      </c>
      <c r="N9" s="3">
        <v>1.28</v>
      </c>
    </row>
    <row r="10" spans="2:14" ht="50.25" customHeight="1" x14ac:dyDescent="0.25">
      <c r="B10" s="34"/>
      <c r="C10" s="20"/>
      <c r="D10" s="13"/>
      <c r="E10" s="39" t="str">
        <f>IF(OR(E9&lt;=0,E9&gt;1), "Value out of range; re-enter value", " ")</f>
        <v xml:space="preserve"> </v>
      </c>
      <c r="F10" s="35"/>
      <c r="M10" s="3">
        <v>0.95</v>
      </c>
      <c r="N10" s="3">
        <v>1.64</v>
      </c>
    </row>
    <row r="11" spans="2:14" ht="66.75" x14ac:dyDescent="0.35">
      <c r="B11" s="34"/>
      <c r="C11" s="20" t="s">
        <v>110</v>
      </c>
      <c r="D11" s="37" t="s">
        <v>64</v>
      </c>
      <c r="E11" s="99">
        <v>0.4</v>
      </c>
      <c r="F11" s="38" t="s">
        <v>133</v>
      </c>
      <c r="M11" s="3">
        <v>0.97499999999999998</v>
      </c>
      <c r="N11" s="3">
        <v>1.96</v>
      </c>
    </row>
    <row r="12" spans="2:14" ht="48.75" customHeight="1" x14ac:dyDescent="0.25">
      <c r="B12" s="34"/>
      <c r="C12" s="20"/>
      <c r="D12" s="13"/>
      <c r="E12" s="39" t="str">
        <f>IF(OR(OR(E11&lt;=0,E11&gt;1),E9=E11), "Value out of range; re-enter value", " ")</f>
        <v xml:space="preserve"> </v>
      </c>
      <c r="F12" s="35"/>
    </row>
    <row r="13" spans="2:14" x14ac:dyDescent="0.25">
      <c r="B13" s="34"/>
      <c r="C13" s="75" t="s">
        <v>112</v>
      </c>
      <c r="D13" s="6" t="s">
        <v>51</v>
      </c>
      <c r="E13" s="99">
        <v>0.95</v>
      </c>
      <c r="F13" s="40" t="s">
        <v>13</v>
      </c>
    </row>
    <row r="14" spans="2:14" ht="18" x14ac:dyDescent="0.35">
      <c r="B14" s="34"/>
      <c r="C14" s="13"/>
      <c r="D14" s="13"/>
      <c r="E14" s="20"/>
      <c r="F14" s="35"/>
      <c r="M14" s="4" t="s">
        <v>10</v>
      </c>
      <c r="N14" s="4" t="s">
        <v>11</v>
      </c>
    </row>
    <row r="15" spans="2:14" ht="18" x14ac:dyDescent="0.35">
      <c r="B15" s="34"/>
      <c r="C15" s="41" t="s">
        <v>6</v>
      </c>
      <c r="D15" s="37" t="s">
        <v>49</v>
      </c>
      <c r="E15" s="19">
        <f>NORMSINV(E13)</f>
        <v>1.6448536269514715</v>
      </c>
      <c r="F15" s="35"/>
      <c r="M15" s="4"/>
      <c r="N15" s="4"/>
    </row>
    <row r="16" spans="2:14" x14ac:dyDescent="0.25">
      <c r="B16" s="34"/>
      <c r="C16" s="41"/>
      <c r="D16" s="13"/>
      <c r="E16" s="20"/>
      <c r="F16" s="35"/>
      <c r="M16" s="4"/>
      <c r="N16" s="4"/>
    </row>
    <row r="17" spans="2:14" x14ac:dyDescent="0.25">
      <c r="B17" s="34"/>
      <c r="C17" s="75" t="s">
        <v>113</v>
      </c>
      <c r="D17" s="6" t="s">
        <v>52</v>
      </c>
      <c r="E17" s="99">
        <v>0.8</v>
      </c>
      <c r="F17" s="40" t="s">
        <v>13</v>
      </c>
      <c r="M17" s="3">
        <v>0.7</v>
      </c>
      <c r="N17" s="3">
        <v>0.53</v>
      </c>
    </row>
    <row r="18" spans="2:14" x14ac:dyDescent="0.25">
      <c r="B18" s="34"/>
      <c r="C18" s="20"/>
      <c r="D18" s="13"/>
      <c r="E18" s="20"/>
      <c r="F18" s="35"/>
      <c r="M18" s="3">
        <v>0.8</v>
      </c>
      <c r="N18" s="3">
        <v>0.84</v>
      </c>
    </row>
    <row r="19" spans="2:14" ht="18" x14ac:dyDescent="0.35">
      <c r="B19" s="34"/>
      <c r="C19" s="41" t="s">
        <v>7</v>
      </c>
      <c r="D19" s="37" t="s">
        <v>50</v>
      </c>
      <c r="E19" s="19">
        <f>NORMSINV(E17)</f>
        <v>0.84162123357291474</v>
      </c>
      <c r="F19" s="35"/>
      <c r="M19" s="3">
        <v>0.9</v>
      </c>
      <c r="N19" s="3">
        <v>1.28</v>
      </c>
    </row>
    <row r="20" spans="2:14" x14ac:dyDescent="0.25">
      <c r="B20" s="34"/>
      <c r="C20" s="20"/>
      <c r="D20" s="13"/>
      <c r="E20" s="20"/>
      <c r="F20" s="35"/>
    </row>
    <row r="21" spans="2:14" ht="45" customHeight="1" x14ac:dyDescent="0.35">
      <c r="B21" s="34"/>
      <c r="C21" s="75" t="s">
        <v>109</v>
      </c>
      <c r="D21" s="37" t="s">
        <v>63</v>
      </c>
      <c r="E21" s="99">
        <v>3</v>
      </c>
      <c r="F21" s="38" t="s">
        <v>14</v>
      </c>
    </row>
    <row r="22" spans="2:14" ht="48.75" customHeight="1" x14ac:dyDescent="0.25">
      <c r="B22" s="34"/>
      <c r="C22" s="20"/>
      <c r="D22" s="13"/>
      <c r="E22" s="39" t="str">
        <f>IF(OR(E21&lt;=0,E21&gt;10), "Value out of range; re-enter value", " ")</f>
        <v xml:space="preserve"> </v>
      </c>
      <c r="F22" s="35"/>
      <c r="M22" t="s">
        <v>67</v>
      </c>
      <c r="N22">
        <f>E21*E9*(1-E9)</f>
        <v>0.75</v>
      </c>
    </row>
    <row r="23" spans="2:14" ht="18" x14ac:dyDescent="0.35">
      <c r="B23" s="34"/>
      <c r="C23" s="75" t="s">
        <v>60</v>
      </c>
      <c r="D23" s="13" t="s">
        <v>65</v>
      </c>
      <c r="E23" s="68">
        <f>N26/N27</f>
        <v>0.83001549183573242</v>
      </c>
      <c r="F23" s="35"/>
      <c r="M23" t="s">
        <v>68</v>
      </c>
      <c r="N23" s="11">
        <f>E21*E11*(1-E11)</f>
        <v>0.72000000000000008</v>
      </c>
    </row>
    <row r="24" spans="2:14" ht="60" customHeight="1" x14ac:dyDescent="0.25">
      <c r="B24" s="34"/>
      <c r="C24" s="20"/>
      <c r="D24" s="13"/>
      <c r="E24" s="59" t="str">
        <f>IF(E23&lt;=0, "Implausible Scenario; Desired power can never be achieved", "")</f>
        <v/>
      </c>
      <c r="F24" s="35"/>
      <c r="M24" t="s">
        <v>69</v>
      </c>
      <c r="N24" s="11">
        <f>(E15+E19)^2</f>
        <v>6.1825572320197661</v>
      </c>
    </row>
    <row r="25" spans="2:14" ht="18" x14ac:dyDescent="0.35">
      <c r="B25" s="34"/>
      <c r="C25" s="29" t="s">
        <v>61</v>
      </c>
      <c r="D25" s="42" t="s">
        <v>111</v>
      </c>
      <c r="E25" s="29">
        <f>ROUNDUP(E23*E7,0)</f>
        <v>831</v>
      </c>
      <c r="F25" s="35"/>
      <c r="M25" t="s">
        <v>70</v>
      </c>
      <c r="N25">
        <f>(E9-E11)^2</f>
        <v>9.999999999999995E-3</v>
      </c>
    </row>
    <row r="26" spans="2:14" ht="15.75" thickBot="1" x14ac:dyDescent="0.3">
      <c r="B26" s="48"/>
      <c r="C26" s="69"/>
      <c r="D26" s="49"/>
      <c r="E26" s="49"/>
      <c r="F26" s="50"/>
      <c r="M26" t="s">
        <v>53</v>
      </c>
      <c r="N26">
        <f>N23*N24/N25</f>
        <v>445.14412070542346</v>
      </c>
    </row>
    <row r="27" spans="2:14" ht="30" x14ac:dyDescent="0.25">
      <c r="B27" s="36" t="s">
        <v>23</v>
      </c>
      <c r="C27" s="20"/>
      <c r="D27" s="15" t="s">
        <v>90</v>
      </c>
      <c r="E27" s="16"/>
      <c r="F27" s="43"/>
      <c r="M27" t="s">
        <v>54</v>
      </c>
      <c r="N27">
        <f>E7- (N22*N24/N25)</f>
        <v>536.30820759851736</v>
      </c>
    </row>
    <row r="28" spans="2:14" x14ac:dyDescent="0.25">
      <c r="B28" s="34"/>
      <c r="C28" s="20"/>
      <c r="D28" s="13"/>
      <c r="E28" s="13"/>
      <c r="F28" s="35"/>
    </row>
    <row r="29" spans="2:14" x14ac:dyDescent="0.25">
      <c r="B29" s="34"/>
      <c r="C29" s="20"/>
      <c r="D29" s="13" t="s">
        <v>77</v>
      </c>
      <c r="E29" s="99" t="s">
        <v>78</v>
      </c>
      <c r="F29" s="40" t="s">
        <v>13</v>
      </c>
    </row>
    <row r="30" spans="2:14" ht="61.5" customHeight="1" x14ac:dyDescent="0.25">
      <c r="B30" s="34"/>
      <c r="C30" s="20"/>
      <c r="D30" s="13"/>
      <c r="E30" s="59" t="str">
        <f>IF(E29="Household", "If household level indicator, skip to adjustment 2"," ")</f>
        <v xml:space="preserve"> </v>
      </c>
      <c r="F30" s="35"/>
      <c r="M30" t="s">
        <v>78</v>
      </c>
    </row>
    <row r="31" spans="2:14" x14ac:dyDescent="0.25">
      <c r="B31" s="34"/>
      <c r="C31" s="20"/>
      <c r="D31" s="13" t="s">
        <v>93</v>
      </c>
      <c r="E31" s="13"/>
      <c r="F31" s="35"/>
      <c r="M31" t="s">
        <v>79</v>
      </c>
    </row>
    <row r="32" spans="2:14" ht="39" x14ac:dyDescent="0.25">
      <c r="B32" s="34"/>
      <c r="C32" s="20"/>
      <c r="D32" s="17" t="s">
        <v>80</v>
      </c>
      <c r="E32" s="99">
        <v>0.18</v>
      </c>
      <c r="F32" s="38" t="s">
        <v>97</v>
      </c>
    </row>
    <row r="33" spans="2:12" ht="44.25" customHeight="1" x14ac:dyDescent="0.25">
      <c r="B33" s="34"/>
      <c r="C33" s="20"/>
      <c r="D33" s="17"/>
      <c r="E33" s="39" t="str">
        <f>IF(OR(E32&lt;=0,E32&gt;1), "Value out of range; re-enter value", " ")</f>
        <v xml:space="preserve"> </v>
      </c>
      <c r="F33" s="38"/>
    </row>
    <row r="34" spans="2:12" ht="51.75" x14ac:dyDescent="0.25">
      <c r="B34" s="34"/>
      <c r="C34" s="20"/>
      <c r="D34" s="17" t="s">
        <v>92</v>
      </c>
      <c r="E34" s="99">
        <v>5</v>
      </c>
      <c r="F34" s="38" t="s">
        <v>94</v>
      </c>
    </row>
    <row r="35" spans="2:12" ht="49.5" customHeight="1" x14ac:dyDescent="0.25">
      <c r="B35" s="34"/>
      <c r="C35" s="20"/>
      <c r="D35" s="14"/>
      <c r="E35" s="39" t="str">
        <f>IF(OR(E34&lt;1,E34&gt;10), "Value out of range; re-enter value", " ")</f>
        <v xml:space="preserve"> </v>
      </c>
      <c r="F35" s="35"/>
    </row>
    <row r="36" spans="2:12" ht="15.75" thickBot="1" x14ac:dyDescent="0.3">
      <c r="B36" s="34"/>
      <c r="C36" s="45" t="s">
        <v>85</v>
      </c>
      <c r="D36" s="17" t="s">
        <v>81</v>
      </c>
      <c r="E36" s="19">
        <f>E32*E34</f>
        <v>0.89999999999999991</v>
      </c>
      <c r="F36" s="40"/>
    </row>
    <row r="37" spans="2:12" ht="28.5" customHeight="1" x14ac:dyDescent="0.25">
      <c r="B37" s="34"/>
      <c r="C37" s="20"/>
      <c r="D37" s="13"/>
      <c r="E37" s="20"/>
      <c r="F37" s="35"/>
      <c r="H37" s="112" t="s">
        <v>100</v>
      </c>
      <c r="I37" s="113"/>
      <c r="J37" s="113"/>
      <c r="K37" s="113"/>
      <c r="L37" s="114"/>
    </row>
    <row r="38" spans="2:12" ht="18" hidden="1" x14ac:dyDescent="0.25">
      <c r="B38" s="34"/>
      <c r="C38" s="17" t="s">
        <v>82</v>
      </c>
      <c r="D38" s="13"/>
      <c r="E38" s="21">
        <f>$E$25/(1-(EXP(-1*$E$36)))</f>
        <v>1400.3328505865618</v>
      </c>
      <c r="F38" s="35"/>
      <c r="H38" s="60"/>
      <c r="I38" s="61"/>
      <c r="J38" s="61"/>
      <c r="K38" s="61"/>
      <c r="L38" s="62"/>
    </row>
    <row r="39" spans="2:12" ht="30" x14ac:dyDescent="0.25">
      <c r="B39" s="34"/>
      <c r="C39" s="17" t="s">
        <v>83</v>
      </c>
      <c r="D39" s="44" t="s">
        <v>84</v>
      </c>
      <c r="E39" s="21">
        <f>(1+$E$36)*EXP(-1*$E$36)*$E$38 + (1-((1+$E$36)*EXP(-1*$E$36)))*$E$38/2</f>
        <v>1241.0326333505145</v>
      </c>
      <c r="F39" s="35"/>
      <c r="H39" s="103"/>
      <c r="I39" s="104"/>
      <c r="J39" s="104"/>
      <c r="K39" s="104"/>
      <c r="L39" s="105"/>
    </row>
    <row r="40" spans="2:12" x14ac:dyDescent="0.25">
      <c r="B40" s="34"/>
      <c r="C40" s="20"/>
      <c r="D40" s="13"/>
      <c r="E40" s="20"/>
      <c r="F40" s="35"/>
      <c r="H40" s="103"/>
      <c r="I40" s="104"/>
      <c r="J40" s="104"/>
      <c r="K40" s="104"/>
      <c r="L40" s="105"/>
    </row>
    <row r="41" spans="2:12" ht="36" x14ac:dyDescent="0.3">
      <c r="B41" s="34"/>
      <c r="C41" s="28" t="s">
        <v>89</v>
      </c>
      <c r="D41" s="24" t="s">
        <v>91</v>
      </c>
      <c r="E41" s="23">
        <f>IF(E29="Household",E25,E39)</f>
        <v>1241.0326333505145</v>
      </c>
      <c r="F41" s="35"/>
      <c r="H41" s="103"/>
      <c r="I41" s="104"/>
      <c r="J41" s="104"/>
      <c r="K41" s="104"/>
      <c r="L41" s="105"/>
    </row>
    <row r="42" spans="2:12" ht="15.75" thickBot="1" x14ac:dyDescent="0.3">
      <c r="B42" s="34"/>
      <c r="C42" s="20"/>
      <c r="D42" s="13"/>
      <c r="E42" s="13"/>
      <c r="F42" s="35"/>
      <c r="H42" s="103"/>
      <c r="I42" s="104"/>
      <c r="J42" s="104"/>
      <c r="K42" s="104"/>
      <c r="L42" s="105"/>
    </row>
    <row r="43" spans="2:12" ht="31.5" x14ac:dyDescent="0.35">
      <c r="B43" s="51" t="s">
        <v>86</v>
      </c>
      <c r="C43" s="52"/>
      <c r="D43" s="56" t="s">
        <v>87</v>
      </c>
      <c r="E43" s="66"/>
      <c r="F43" s="67"/>
      <c r="H43" s="103"/>
      <c r="I43" s="104"/>
      <c r="J43" s="104"/>
      <c r="K43" s="104"/>
      <c r="L43" s="105"/>
    </row>
    <row r="44" spans="2:12" x14ac:dyDescent="0.25">
      <c r="B44" s="34"/>
      <c r="C44" s="13"/>
      <c r="D44" s="13"/>
      <c r="E44" s="13"/>
      <c r="F44" s="35"/>
      <c r="H44" s="103"/>
      <c r="I44" s="104"/>
      <c r="J44" s="104"/>
      <c r="K44" s="104"/>
      <c r="L44" s="105"/>
    </row>
    <row r="45" spans="2:12" ht="39" x14ac:dyDescent="0.25">
      <c r="B45" s="34"/>
      <c r="C45" s="13"/>
      <c r="D45" s="26" t="s">
        <v>122</v>
      </c>
      <c r="E45" s="100">
        <v>5</v>
      </c>
      <c r="F45" s="38" t="s">
        <v>95</v>
      </c>
      <c r="H45" s="103"/>
      <c r="I45" s="104"/>
      <c r="J45" s="104"/>
      <c r="K45" s="104"/>
      <c r="L45" s="105"/>
    </row>
    <row r="46" spans="2:12" ht="45.75" customHeight="1" x14ac:dyDescent="0.25">
      <c r="B46" s="34"/>
      <c r="C46" s="13"/>
      <c r="D46" s="26"/>
      <c r="E46" s="39" t="str">
        <f>IF(OR(E45&lt;0,E45&gt;=100), "Value out of range; re-enter value", " ")</f>
        <v xml:space="preserve"> </v>
      </c>
      <c r="F46" s="47"/>
      <c r="H46" s="103"/>
      <c r="I46" s="104"/>
      <c r="J46" s="104"/>
      <c r="K46" s="104"/>
      <c r="L46" s="105"/>
    </row>
    <row r="47" spans="2:12" ht="18" x14ac:dyDescent="0.35">
      <c r="B47" s="34"/>
      <c r="C47" s="42" t="s">
        <v>88</v>
      </c>
      <c r="D47" s="22" t="s">
        <v>96</v>
      </c>
      <c r="E47" s="27">
        <f>E41/(1-(E45/100))</f>
        <v>1306.3501403689627</v>
      </c>
      <c r="F47" s="35"/>
      <c r="H47" s="103"/>
      <c r="I47" s="104"/>
      <c r="J47" s="104"/>
      <c r="K47" s="104"/>
      <c r="L47" s="105"/>
    </row>
    <row r="48" spans="2:12" ht="15.75" thickBot="1" x14ac:dyDescent="0.3">
      <c r="B48" s="48"/>
      <c r="C48" s="49"/>
      <c r="D48" s="49"/>
      <c r="E48" s="49"/>
      <c r="F48" s="50"/>
      <c r="H48" s="106"/>
      <c r="I48" s="107"/>
      <c r="J48" s="107"/>
      <c r="K48" s="107"/>
      <c r="L48" s="108"/>
    </row>
    <row r="57" spans="2:6" ht="90.75" customHeight="1" x14ac:dyDescent="0.25">
      <c r="B57" s="118"/>
      <c r="C57" s="119"/>
      <c r="D57" s="119"/>
      <c r="E57" s="119"/>
      <c r="F57" s="119"/>
    </row>
  </sheetData>
  <sheetProtection algorithmName="SHA-512" hashValue="O8ncr/p32Myixgh0cU8wMS3VJ7esBs8LQRUldlabocNeKhaU6qwbftKrTQw/dH+xZC9PgjedCD+HQfk/4r6jHQ==" saltValue="Tp/YcSma35+k2ja4Mow4RA==" spinCount="100000" sheet="1" objects="1" scenarios="1" selectLockedCells="1"/>
  <mergeCells count="4">
    <mergeCell ref="B5:F5"/>
    <mergeCell ref="B6:F6"/>
    <mergeCell ref="H37:L37"/>
    <mergeCell ref="B57:F57"/>
  </mergeCells>
  <conditionalFormatting sqref="E32">
    <cfRule type="expression" dxfId="13" priority="6">
      <formula>E29="Household"</formula>
    </cfRule>
  </conditionalFormatting>
  <conditionalFormatting sqref="E34">
    <cfRule type="expression" dxfId="12" priority="5">
      <formula>E29="Household"</formula>
    </cfRule>
  </conditionalFormatting>
  <conditionalFormatting sqref="E36">
    <cfRule type="expression" dxfId="11" priority="4">
      <formula>E29="Household"</formula>
    </cfRule>
  </conditionalFormatting>
  <conditionalFormatting sqref="E38:E39">
    <cfRule type="expression" dxfId="10" priority="3">
      <formula>E29="Household"</formula>
    </cfRule>
  </conditionalFormatting>
  <conditionalFormatting sqref="E39">
    <cfRule type="expression" dxfId="9" priority="2">
      <formula>E29="Household"</formula>
    </cfRule>
  </conditionalFormatting>
  <conditionalFormatting sqref="F7">
    <cfRule type="expression" dxfId="8" priority="1">
      <formula>E1="YES"</formula>
    </cfRule>
  </conditionalFormatting>
  <dataValidations count="3">
    <dataValidation type="list" allowBlank="1" showInputMessage="1" showErrorMessage="1" sqref="E13">
      <formula1>$M$9:$M$11</formula1>
    </dataValidation>
    <dataValidation type="list" allowBlank="1" showInputMessage="1" showErrorMessage="1" sqref="E17">
      <formula1>$M$17:$M$19</formula1>
    </dataValidation>
    <dataValidation type="list" allowBlank="1" showInputMessage="1" showErrorMessage="1" sqref="E29">
      <formula1>$M$30:$M$31</formula1>
    </dataValidation>
  </dataValidation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59"/>
  <sheetViews>
    <sheetView showGridLines="0" workbookViewId="0">
      <selection activeCell="E7" sqref="E7"/>
    </sheetView>
  </sheetViews>
  <sheetFormatPr defaultRowHeight="15" x14ac:dyDescent="0.25"/>
  <cols>
    <col min="2" max="2" width="19.42578125" customWidth="1"/>
    <col min="3" max="3" width="10.85546875" customWidth="1"/>
    <col min="4" max="4" width="53" customWidth="1"/>
    <col min="5" max="5" width="18.85546875" customWidth="1"/>
    <col min="6" max="6" width="17.85546875" customWidth="1"/>
    <col min="13" max="13" width="15.42578125" hidden="1" customWidth="1"/>
    <col min="14" max="14" width="0" hidden="1" customWidth="1"/>
  </cols>
  <sheetData>
    <row r="3" spans="2:14" ht="15.75" thickBot="1" x14ac:dyDescent="0.3"/>
    <row r="4" spans="2:14" x14ac:dyDescent="0.25">
      <c r="B4" s="31"/>
      <c r="C4" s="32"/>
      <c r="D4" s="32"/>
      <c r="E4" s="32"/>
      <c r="F4" s="33"/>
    </row>
    <row r="5" spans="2:14" ht="17.25" x14ac:dyDescent="0.3">
      <c r="B5" s="120" t="s">
        <v>107</v>
      </c>
      <c r="C5" s="121"/>
      <c r="D5" s="121"/>
      <c r="E5" s="121"/>
      <c r="F5" s="122"/>
    </row>
    <row r="6" spans="2:14" ht="15.75" thickBot="1" x14ac:dyDescent="0.3">
      <c r="B6" s="115" t="s">
        <v>128</v>
      </c>
      <c r="C6" s="116"/>
      <c r="D6" s="116"/>
      <c r="E6" s="116"/>
      <c r="F6" s="117"/>
    </row>
    <row r="7" spans="2:14" ht="31.5" x14ac:dyDescent="0.35">
      <c r="B7" s="70" t="s">
        <v>76</v>
      </c>
      <c r="C7" s="71" t="s">
        <v>59</v>
      </c>
      <c r="D7" s="72" t="s">
        <v>66</v>
      </c>
      <c r="E7" s="102">
        <v>1000</v>
      </c>
      <c r="F7" s="73" t="s">
        <v>74</v>
      </c>
    </row>
    <row r="8" spans="2:14" ht="45" customHeight="1" x14ac:dyDescent="0.35">
      <c r="B8" s="34"/>
      <c r="C8" s="13"/>
      <c r="D8" s="13"/>
      <c r="E8" s="39" t="str">
        <f>IF(OR(E7&lt;=0,ISTEXT(E7)), "Value out of range; re-enter value", " ")</f>
        <v xml:space="preserve"> </v>
      </c>
      <c r="F8" s="35"/>
      <c r="M8" s="4" t="s">
        <v>8</v>
      </c>
      <c r="N8" s="1" t="s">
        <v>9</v>
      </c>
    </row>
    <row r="9" spans="2:14" ht="27.75" customHeight="1" x14ac:dyDescent="0.25">
      <c r="B9" s="34"/>
      <c r="D9" s="37" t="s">
        <v>71</v>
      </c>
      <c r="E9" s="99">
        <v>1.7</v>
      </c>
      <c r="F9" s="38" t="s">
        <v>74</v>
      </c>
      <c r="M9" s="3">
        <v>0.9</v>
      </c>
      <c r="N9" s="3">
        <v>1.28</v>
      </c>
    </row>
    <row r="10" spans="2:14" ht="45.75" customHeight="1" x14ac:dyDescent="0.25">
      <c r="B10" s="34"/>
      <c r="C10" s="20"/>
      <c r="D10" s="13"/>
      <c r="E10" s="39" t="str">
        <f>IF(OR(E9&lt;=0, ISTEXT(E9)), "Value out of range; re-enter value", " ")</f>
        <v xml:space="preserve"> </v>
      </c>
      <c r="F10" s="35"/>
      <c r="M10" s="3">
        <v>0.95</v>
      </c>
      <c r="N10" s="3">
        <v>1.64</v>
      </c>
    </row>
    <row r="11" spans="2:14" ht="52.5" x14ac:dyDescent="0.25">
      <c r="B11" s="34"/>
      <c r="D11" s="37" t="s">
        <v>72</v>
      </c>
      <c r="E11" s="99">
        <v>1.5</v>
      </c>
      <c r="F11" s="64" t="s">
        <v>134</v>
      </c>
      <c r="M11" s="3">
        <v>0.97499999999999998</v>
      </c>
      <c r="N11" s="3">
        <v>1.96</v>
      </c>
    </row>
    <row r="12" spans="2:14" ht="46.5" customHeight="1" x14ac:dyDescent="0.25">
      <c r="B12" s="34"/>
      <c r="C12" s="20"/>
      <c r="D12" s="13"/>
      <c r="E12" s="39" t="str">
        <f>IF(OR(OR(E11&lt;=0,E9=E11),ISTEXT(E11)), "Value out of range; re-enter value", " ")</f>
        <v xml:space="preserve"> </v>
      </c>
      <c r="F12" s="35"/>
    </row>
    <row r="13" spans="2:14" ht="27.75" x14ac:dyDescent="0.35">
      <c r="B13" s="34"/>
      <c r="C13" s="45" t="s">
        <v>73</v>
      </c>
      <c r="D13" s="37" t="s">
        <v>75</v>
      </c>
      <c r="E13" s="101">
        <v>0.5</v>
      </c>
      <c r="F13" s="64" t="s">
        <v>74</v>
      </c>
    </row>
    <row r="14" spans="2:14" ht="45" customHeight="1" x14ac:dyDescent="0.25">
      <c r="B14" s="34"/>
      <c r="C14" s="20"/>
      <c r="D14" s="13"/>
      <c r="E14" s="39" t="str">
        <f>IF(OR(E13&lt;=0,ISTEXT(E13)),"Value out of range; re-enter value", " ")</f>
        <v xml:space="preserve"> </v>
      </c>
      <c r="F14" s="35"/>
    </row>
    <row r="15" spans="2:14" x14ac:dyDescent="0.25">
      <c r="B15" s="34"/>
      <c r="C15" s="75" t="s">
        <v>112</v>
      </c>
      <c r="D15" s="6" t="s">
        <v>51</v>
      </c>
      <c r="E15" s="99">
        <v>0.95</v>
      </c>
      <c r="F15" s="40" t="s">
        <v>13</v>
      </c>
    </row>
    <row r="16" spans="2:14" ht="18" x14ac:dyDescent="0.35">
      <c r="B16" s="34"/>
      <c r="C16" s="13"/>
      <c r="D16" s="13"/>
      <c r="E16" s="20"/>
      <c r="F16" s="35"/>
      <c r="M16" s="4" t="s">
        <v>10</v>
      </c>
      <c r="N16" s="4" t="s">
        <v>11</v>
      </c>
    </row>
    <row r="17" spans="2:14" ht="18" x14ac:dyDescent="0.35">
      <c r="B17" s="34"/>
      <c r="C17" s="41" t="s">
        <v>6</v>
      </c>
      <c r="D17" s="37" t="s">
        <v>49</v>
      </c>
      <c r="E17" s="19">
        <f>NORMSINV(E15)</f>
        <v>1.6448536269514715</v>
      </c>
      <c r="F17" s="35"/>
      <c r="M17" s="4"/>
      <c r="N17" s="4"/>
    </row>
    <row r="18" spans="2:14" x14ac:dyDescent="0.25">
      <c r="B18" s="34"/>
      <c r="C18" s="41"/>
      <c r="D18" s="13"/>
      <c r="E18" s="20"/>
      <c r="F18" s="35"/>
      <c r="M18" s="4"/>
      <c r="N18" s="4"/>
    </row>
    <row r="19" spans="2:14" x14ac:dyDescent="0.25">
      <c r="B19" s="34"/>
      <c r="C19" s="75" t="s">
        <v>113</v>
      </c>
      <c r="D19" s="6" t="s">
        <v>52</v>
      </c>
      <c r="E19" s="99">
        <v>0.8</v>
      </c>
      <c r="F19" s="40" t="s">
        <v>13</v>
      </c>
      <c r="M19" s="3">
        <v>0.7</v>
      </c>
      <c r="N19" s="3">
        <v>0.53</v>
      </c>
    </row>
    <row r="20" spans="2:14" x14ac:dyDescent="0.25">
      <c r="B20" s="34"/>
      <c r="C20" s="20"/>
      <c r="D20" s="13"/>
      <c r="E20" s="20"/>
      <c r="F20" s="35"/>
      <c r="M20" s="3">
        <v>0.8</v>
      </c>
      <c r="N20" s="3">
        <v>0.84</v>
      </c>
    </row>
    <row r="21" spans="2:14" ht="18" x14ac:dyDescent="0.35">
      <c r="B21" s="34"/>
      <c r="C21" s="41" t="s">
        <v>7</v>
      </c>
      <c r="D21" s="37" t="s">
        <v>50</v>
      </c>
      <c r="E21" s="19">
        <f>NORMSINV(E19)</f>
        <v>0.84162123357291474</v>
      </c>
      <c r="F21" s="35"/>
      <c r="M21" s="3">
        <v>0.9</v>
      </c>
      <c r="N21" s="3">
        <v>1.28</v>
      </c>
    </row>
    <row r="22" spans="2:14" x14ac:dyDescent="0.25">
      <c r="B22" s="34"/>
      <c r="C22" s="20"/>
      <c r="D22" s="13"/>
      <c r="E22" s="20"/>
      <c r="F22" s="35"/>
    </row>
    <row r="23" spans="2:14" ht="45" customHeight="1" x14ac:dyDescent="0.35">
      <c r="B23" s="34"/>
      <c r="C23" s="75" t="s">
        <v>109</v>
      </c>
      <c r="D23" s="37" t="s">
        <v>63</v>
      </c>
      <c r="E23" s="99">
        <v>5</v>
      </c>
      <c r="F23" s="38" t="s">
        <v>14</v>
      </c>
    </row>
    <row r="24" spans="2:14" ht="48" customHeight="1" x14ac:dyDescent="0.25">
      <c r="B24" s="34"/>
      <c r="C24" s="20"/>
      <c r="D24" s="13"/>
      <c r="E24" s="39" t="str">
        <f>IF(OR(E23&lt;=0,E23&gt;10), "Value out of range; re-enter value", " ")</f>
        <v xml:space="preserve"> </v>
      </c>
      <c r="F24" s="35"/>
      <c r="M24" t="s">
        <v>67</v>
      </c>
      <c r="N24">
        <f>(E17+E21)^2</f>
        <v>6.1825572320197661</v>
      </c>
    </row>
    <row r="25" spans="2:14" ht="18" x14ac:dyDescent="0.35">
      <c r="B25" s="34"/>
      <c r="C25" s="75" t="s">
        <v>60</v>
      </c>
      <c r="D25" s="13" t="s">
        <v>65</v>
      </c>
      <c r="E25" s="68">
        <f>N26/N27</f>
        <v>0.23947209983506232</v>
      </c>
      <c r="F25" s="35"/>
      <c r="M25" t="s">
        <v>68</v>
      </c>
      <c r="N25" s="11">
        <f>(E9-E11)^2</f>
        <v>3.999999999999998E-2</v>
      </c>
    </row>
    <row r="26" spans="2:14" ht="58.5" customHeight="1" x14ac:dyDescent="0.25">
      <c r="B26" s="34"/>
      <c r="C26" s="20"/>
      <c r="D26" s="13"/>
      <c r="E26" s="59" t="str">
        <f>IF(E25&lt;=0,"Implausible Scenario; Desired power can never be achieved","")</f>
        <v/>
      </c>
      <c r="F26" s="35"/>
      <c r="M26" t="s">
        <v>53</v>
      </c>
      <c r="N26" s="11">
        <f>E23*N24*(E13)^2/N25</f>
        <v>193.20491350061781</v>
      </c>
    </row>
    <row r="27" spans="2:14" ht="18" x14ac:dyDescent="0.35">
      <c r="B27" s="34"/>
      <c r="C27" s="29" t="s">
        <v>61</v>
      </c>
      <c r="D27" s="42" t="s">
        <v>111</v>
      </c>
      <c r="E27" s="29">
        <f>ROUNDUP(E25*E7,0)</f>
        <v>240</v>
      </c>
      <c r="F27" s="35"/>
      <c r="M27" t="s">
        <v>54</v>
      </c>
      <c r="N27" s="12">
        <f>E7-N26</f>
        <v>806.79508649938225</v>
      </c>
    </row>
    <row r="28" spans="2:14" ht="15.75" thickBot="1" x14ac:dyDescent="0.3">
      <c r="B28" s="48"/>
      <c r="C28" s="69"/>
      <c r="D28" s="49"/>
      <c r="E28" s="49"/>
      <c r="F28" s="50"/>
    </row>
    <row r="29" spans="2:14" ht="30" x14ac:dyDescent="0.25">
      <c r="B29" s="36" t="s">
        <v>23</v>
      </c>
      <c r="C29" s="20"/>
      <c r="D29" s="15" t="s">
        <v>90</v>
      </c>
      <c r="E29" s="16"/>
      <c r="F29" s="43"/>
    </row>
    <row r="30" spans="2:14" x14ac:dyDescent="0.25">
      <c r="B30" s="34"/>
      <c r="C30" s="20"/>
      <c r="D30" s="13"/>
      <c r="E30" s="13"/>
      <c r="F30" s="35"/>
      <c r="M30" t="s">
        <v>78</v>
      </c>
    </row>
    <row r="31" spans="2:14" x14ac:dyDescent="0.25">
      <c r="B31" s="34"/>
      <c r="C31" s="20"/>
      <c r="D31" s="13" t="s">
        <v>77</v>
      </c>
      <c r="E31" s="99" t="s">
        <v>78</v>
      </c>
      <c r="F31" s="40" t="s">
        <v>13</v>
      </c>
      <c r="M31" t="s">
        <v>79</v>
      </c>
    </row>
    <row r="32" spans="2:14" ht="59.25" customHeight="1" x14ac:dyDescent="0.25">
      <c r="B32" s="34"/>
      <c r="C32" s="20"/>
      <c r="D32" s="13"/>
      <c r="E32" s="59" t="str">
        <f>IF(E31="Household", "If household level indicator, skip to adjustment 2"," ")</f>
        <v xml:space="preserve"> </v>
      </c>
      <c r="F32" s="35"/>
    </row>
    <row r="33" spans="2:12" x14ac:dyDescent="0.25">
      <c r="B33" s="34"/>
      <c r="C33" s="20"/>
      <c r="D33" s="13" t="s">
        <v>93</v>
      </c>
      <c r="E33" s="13"/>
      <c r="F33" s="35"/>
    </row>
    <row r="34" spans="2:12" ht="39" x14ac:dyDescent="0.25">
      <c r="B34" s="34"/>
      <c r="C34" s="20"/>
      <c r="D34" s="17" t="s">
        <v>80</v>
      </c>
      <c r="E34" s="99">
        <v>0.18</v>
      </c>
      <c r="F34" s="38" t="s">
        <v>97</v>
      </c>
    </row>
    <row r="35" spans="2:12" ht="51.75" customHeight="1" x14ac:dyDescent="0.25">
      <c r="B35" s="34"/>
      <c r="C35" s="20"/>
      <c r="D35" s="17"/>
      <c r="E35" s="39" t="str">
        <f>IF(OR(E34&lt;=0,E34&gt;1), "Value out of range; re-enter value", " ")</f>
        <v xml:space="preserve"> </v>
      </c>
      <c r="F35" s="38"/>
    </row>
    <row r="36" spans="2:12" ht="51.75" x14ac:dyDescent="0.25">
      <c r="B36" s="34"/>
      <c r="C36" s="20"/>
      <c r="D36" s="17" t="s">
        <v>92</v>
      </c>
      <c r="E36" s="99">
        <v>5</v>
      </c>
      <c r="F36" s="38" t="s">
        <v>94</v>
      </c>
    </row>
    <row r="37" spans="2:12" ht="44.25" customHeight="1" x14ac:dyDescent="0.25">
      <c r="B37" s="34"/>
      <c r="C37" s="20"/>
      <c r="D37" s="14"/>
      <c r="E37" s="39" t="str">
        <f>IF(OR(E36&lt;1,E36&gt;10), "Value out of range; re-enter value", " ")</f>
        <v xml:space="preserve"> </v>
      </c>
      <c r="F37" s="35"/>
    </row>
    <row r="38" spans="2:12" ht="15.75" thickBot="1" x14ac:dyDescent="0.3">
      <c r="B38" s="34"/>
      <c r="C38" s="45" t="s">
        <v>85</v>
      </c>
      <c r="D38" s="17" t="s">
        <v>81</v>
      </c>
      <c r="E38" s="19">
        <f>E34*E36</f>
        <v>0.89999999999999991</v>
      </c>
      <c r="F38" s="40"/>
    </row>
    <row r="39" spans="2:12" ht="30.75" customHeight="1" x14ac:dyDescent="0.25">
      <c r="B39" s="34"/>
      <c r="C39" s="20"/>
      <c r="D39" s="13"/>
      <c r="E39" s="20"/>
      <c r="F39" s="35"/>
      <c r="H39" s="112" t="s">
        <v>100</v>
      </c>
      <c r="I39" s="113"/>
      <c r="J39" s="113"/>
      <c r="K39" s="113"/>
      <c r="L39" s="114"/>
    </row>
    <row r="40" spans="2:12" ht="18" hidden="1" x14ac:dyDescent="0.25">
      <c r="B40" s="34"/>
      <c r="C40" s="17" t="s">
        <v>82</v>
      </c>
      <c r="D40" s="13"/>
      <c r="E40" s="21">
        <f>$E$27/(1-(EXP(-1*$E$38)))</f>
        <v>404.42826009720198</v>
      </c>
      <c r="F40" s="35"/>
      <c r="H40" s="60"/>
      <c r="I40" s="61"/>
      <c r="J40" s="61"/>
      <c r="K40" s="61"/>
      <c r="L40" s="62"/>
    </row>
    <row r="41" spans="2:12" ht="30" x14ac:dyDescent="0.25">
      <c r="B41" s="34"/>
      <c r="C41" s="17" t="s">
        <v>83</v>
      </c>
      <c r="D41" s="44" t="s">
        <v>84</v>
      </c>
      <c r="E41" s="21">
        <f>(1+$E$38)*EXP(-1*$E$38)*$E$40 + (1-((1+$E$38)*EXP(-1*$E$38)))*$E$40/2</f>
        <v>358.4209771409428</v>
      </c>
      <c r="F41" s="35"/>
      <c r="H41" s="103"/>
      <c r="I41" s="104"/>
      <c r="J41" s="104"/>
      <c r="K41" s="104"/>
      <c r="L41" s="105"/>
    </row>
    <row r="42" spans="2:12" x14ac:dyDescent="0.25">
      <c r="B42" s="34"/>
      <c r="C42" s="20"/>
      <c r="D42" s="13"/>
      <c r="E42" s="20"/>
      <c r="F42" s="35"/>
      <c r="H42" s="103"/>
      <c r="I42" s="104"/>
      <c r="J42" s="104"/>
      <c r="K42" s="104"/>
      <c r="L42" s="105"/>
    </row>
    <row r="43" spans="2:12" ht="36" x14ac:dyDescent="0.3">
      <c r="B43" s="34"/>
      <c r="C43" s="28" t="s">
        <v>89</v>
      </c>
      <c r="D43" s="24" t="s">
        <v>91</v>
      </c>
      <c r="E43" s="23">
        <f>IF(E31="Household",E27,E41)</f>
        <v>358.4209771409428</v>
      </c>
      <c r="F43" s="35"/>
      <c r="H43" s="103"/>
      <c r="I43" s="104"/>
      <c r="J43" s="104"/>
      <c r="K43" s="104"/>
      <c r="L43" s="105"/>
    </row>
    <row r="44" spans="2:12" ht="15.75" thickBot="1" x14ac:dyDescent="0.3">
      <c r="B44" s="34"/>
      <c r="C44" s="20"/>
      <c r="D44" s="13"/>
      <c r="E44" s="13"/>
      <c r="F44" s="35"/>
      <c r="H44" s="103"/>
      <c r="I44" s="104"/>
      <c r="J44" s="104"/>
      <c r="K44" s="104"/>
      <c r="L44" s="105"/>
    </row>
    <row r="45" spans="2:12" ht="31.5" x14ac:dyDescent="0.35">
      <c r="B45" s="51" t="s">
        <v>86</v>
      </c>
      <c r="C45" s="52"/>
      <c r="D45" s="56" t="s">
        <v>87</v>
      </c>
      <c r="E45" s="66"/>
      <c r="F45" s="67"/>
      <c r="H45" s="103"/>
      <c r="I45" s="104"/>
      <c r="J45" s="104"/>
      <c r="K45" s="104"/>
      <c r="L45" s="105"/>
    </row>
    <row r="46" spans="2:12" x14ac:dyDescent="0.25">
      <c r="B46" s="34"/>
      <c r="C46" s="13"/>
      <c r="D46" s="13"/>
      <c r="E46" s="13"/>
      <c r="F46" s="35"/>
      <c r="H46" s="103"/>
      <c r="I46" s="104"/>
      <c r="J46" s="104"/>
      <c r="K46" s="104"/>
      <c r="L46" s="105"/>
    </row>
    <row r="47" spans="2:12" ht="39" x14ac:dyDescent="0.25">
      <c r="B47" s="34"/>
      <c r="C47" s="13"/>
      <c r="D47" s="26" t="s">
        <v>122</v>
      </c>
      <c r="E47" s="100">
        <v>5</v>
      </c>
      <c r="F47" s="38" t="s">
        <v>95</v>
      </c>
      <c r="H47" s="103"/>
      <c r="I47" s="104"/>
      <c r="J47" s="104"/>
      <c r="K47" s="104"/>
      <c r="L47" s="105"/>
    </row>
    <row r="48" spans="2:12" ht="48.75" customHeight="1" x14ac:dyDescent="0.25">
      <c r="B48" s="34"/>
      <c r="C48" s="13"/>
      <c r="D48" s="26"/>
      <c r="E48" s="39" t="str">
        <f>IF(OR(E47&lt;0,E47&gt;=100), "Value out of range; re-enter value", " ")</f>
        <v xml:space="preserve"> </v>
      </c>
      <c r="F48" s="47"/>
      <c r="H48" s="103"/>
      <c r="I48" s="104"/>
      <c r="J48" s="104"/>
      <c r="K48" s="104"/>
      <c r="L48" s="105"/>
    </row>
    <row r="49" spans="2:12" ht="18" x14ac:dyDescent="0.35">
      <c r="B49" s="34"/>
      <c r="C49" s="42" t="s">
        <v>88</v>
      </c>
      <c r="D49" s="22" t="s">
        <v>96</v>
      </c>
      <c r="E49" s="27">
        <f>E43/(1-(E47/100))</f>
        <v>377.28523909572925</v>
      </c>
      <c r="F49" s="35"/>
      <c r="H49" s="103"/>
      <c r="I49" s="104"/>
      <c r="J49" s="104"/>
      <c r="K49" s="104"/>
      <c r="L49" s="105"/>
    </row>
    <row r="50" spans="2:12" ht="15.75" thickBot="1" x14ac:dyDescent="0.3">
      <c r="B50" s="48"/>
      <c r="C50" s="49"/>
      <c r="D50" s="49"/>
      <c r="E50" s="49"/>
      <c r="F50" s="50"/>
      <c r="H50" s="106"/>
      <c r="I50" s="107"/>
      <c r="J50" s="107"/>
      <c r="K50" s="107"/>
      <c r="L50" s="108"/>
    </row>
    <row r="59" spans="2:12" ht="90.75" customHeight="1" x14ac:dyDescent="0.25">
      <c r="B59" s="118"/>
      <c r="C59" s="119"/>
      <c r="D59" s="119"/>
      <c r="E59" s="119"/>
      <c r="F59" s="119"/>
    </row>
  </sheetData>
  <sheetProtection algorithmName="SHA-512" hashValue="TvZG7rhIQKfMZHmR9/R5OPWMfRSnrUxsCXClJiA/OWdO6qotDZOZ5qk7IuC5g4EgMJwW9UdZYwuRONcRAGP7Vw==" saltValue="bXtx26zEBNVvIpRaRiRPxw==" spinCount="100000" sheet="1" objects="1" scenarios="1" selectLockedCells="1"/>
  <mergeCells count="4">
    <mergeCell ref="B5:F5"/>
    <mergeCell ref="B6:F6"/>
    <mergeCell ref="H39:L39"/>
    <mergeCell ref="B59:F59"/>
  </mergeCells>
  <conditionalFormatting sqref="E41">
    <cfRule type="expression" dxfId="7" priority="4">
      <formula>E31="Household"</formula>
    </cfRule>
  </conditionalFormatting>
  <conditionalFormatting sqref="E34">
    <cfRule type="expression" dxfId="6" priority="8">
      <formula>E31="Household"</formula>
    </cfRule>
  </conditionalFormatting>
  <conditionalFormatting sqref="E36">
    <cfRule type="expression" dxfId="5" priority="7">
      <formula>E31="Household"</formula>
    </cfRule>
  </conditionalFormatting>
  <conditionalFormatting sqref="E38">
    <cfRule type="expression" dxfId="4" priority="6">
      <formula>E31="Household"</formula>
    </cfRule>
  </conditionalFormatting>
  <conditionalFormatting sqref="E40:E41">
    <cfRule type="expression" dxfId="3" priority="5">
      <formula>E31="Household"</formula>
    </cfRule>
  </conditionalFormatting>
  <conditionalFormatting sqref="F7">
    <cfRule type="expression" dxfId="2" priority="3">
      <formula>E1="YES"</formula>
    </cfRule>
  </conditionalFormatting>
  <conditionalFormatting sqref="F11">
    <cfRule type="expression" dxfId="1" priority="2">
      <formula>E9="NO"</formula>
    </cfRule>
  </conditionalFormatting>
  <conditionalFormatting sqref="F13">
    <cfRule type="expression" dxfId="0" priority="1">
      <formula>E11="NO"</formula>
    </cfRule>
  </conditionalFormatting>
  <dataValidations count="3">
    <dataValidation type="list" allowBlank="1" showInputMessage="1" showErrorMessage="1" sqref="E19">
      <formula1>$M$19:$M$21</formula1>
    </dataValidation>
    <dataValidation type="list" allowBlank="1" showInputMessage="1" showErrorMessage="1" sqref="E15">
      <formula1>$M$9:$M$11</formula1>
    </dataValidation>
    <dataValidation type="list" allowBlank="1" showInputMessage="1" showErrorMessage="1" sqref="E31">
      <formula1>$M$30:$M$31</formula1>
    </dataValidation>
  </dataValidations>
  <pageMargins left="0.7" right="0.7" top="0.75" bottom="0.75" header="0.3" footer="0.3"/>
  <pageSetup orientation="portrait" horizontalDpi="4294967295" verticalDpi="4294967295"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A3E5F9AA6593439116F79CA10376F1" ma:contentTypeVersion="21" ma:contentTypeDescription="Create a new document." ma:contentTypeScope="" ma:versionID="aa81e6f34497b5dee97a50b007a245c4">
  <xsd:schema xmlns:xsd="http://www.w3.org/2001/XMLSchema" xmlns:xs="http://www.w3.org/2001/XMLSchema" xmlns:p="http://schemas.microsoft.com/office/2006/metadata/properties" xmlns:ns2="0d58e8a2-dff7-4492-a987-8cd66a35f019" xmlns:ns3="a7a5a0b0-47c5-4056-9505-4cb74804ae11" xmlns:ns4="fa6a9aea-fb0f-4ddd-aff8-712634b7d5fe" targetNamespace="http://schemas.microsoft.com/office/2006/metadata/properties" ma:root="true" ma:fieldsID="ce02d3080834df40a3c73274b843bea0" ns2:_="" ns3:_="" ns4:_="">
    <xsd:import namespace="0d58e8a2-dff7-4492-a987-8cd66a35f019"/>
    <xsd:import namespace="a7a5a0b0-47c5-4056-9505-4cb74804ae11"/>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4:TaxCatchAll"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2:DLVStatu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58e8a2-dff7-4492-a987-8cd66a35f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element name="DLVStatus" ma:index="21" nillable="true" ma:displayName="DLV Status" ma:format="Dropdown" ma:internalName="DLVStatus">
      <xsd:simpleType>
        <xsd:restriction base="dms:Choice">
          <xsd:enumeration value="Old Draft"/>
          <xsd:enumeration value="Working Draft"/>
          <xsd:enumeration value="Submitted"/>
          <xsd:enumeration value="USAID Comments"/>
          <xsd:enumeration value="USAID Approved"/>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a5a0b0-47c5-4056-9505-4cb74804ae1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7cdfd5d-0bb3-4f95-b84e-d82436353bd1}" ma:internalName="TaxCatchAll" ma:showField="CatchAllData" ma:web="a7a5a0b0-47c5-4056-9505-4cb74804ae1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AE4AFB-DB6E-4644-8630-983AE6263176}"/>
</file>

<file path=customXml/itemProps2.xml><?xml version="1.0" encoding="utf-8"?>
<ds:datastoreItem xmlns:ds="http://schemas.openxmlformats.org/officeDocument/2006/customXml" ds:itemID="{73600025-243E-4AB0-A0CE-14BC4431C2B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Introduction and Instructions</vt:lpstr>
      <vt:lpstr>1. Comparative for Proportions</vt:lpstr>
      <vt:lpstr>2. Comparative for Means</vt:lpstr>
      <vt:lpstr>3. Descriptive for Proportions</vt:lpstr>
      <vt:lpstr>4. Descriptive for Means</vt:lpstr>
      <vt:lpstr>5.Comparative Proportions TopUp</vt:lpstr>
      <vt:lpstr>6. Comparative Means TopUp</vt:lpstr>
      <vt:lpstr>'1. Comparative for Proportions'!_Toc496022002</vt:lpstr>
      <vt:lpstr>'3. Descriptive for Proportions'!_Toc496022009</vt:lpstr>
      <vt:lpstr>'3. Descriptive for Proportions'!_Toc496022010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Size Calculator to Power Statistical Tests of Differences over Time for Indicators of Proportions</dc:title>
  <dc:creator>Diana Stukel</dc:creator>
  <cp:lastModifiedBy>Diana Stukel</cp:lastModifiedBy>
  <dcterms:created xsi:type="dcterms:W3CDTF">2017-11-02T21:28:54Z</dcterms:created>
  <dcterms:modified xsi:type="dcterms:W3CDTF">2018-04-18T18:41:07Z</dcterms:modified>
</cp:coreProperties>
</file>