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4520" windowHeight="7320"/>
  </bookViews>
  <sheets>
    <sheet name="Calculator" sheetId="1" r:id="rId1"/>
    <sheet name="P&amp;S on track" sheetId="5" r:id="rId2"/>
    <sheet name="Sheet2" sheetId="2" r:id="rId3"/>
    <sheet name="Sheet3" sheetId="3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G24" i="1" l="1"/>
  <c r="H15" i="1" l="1"/>
  <c r="H18" i="1" s="1"/>
  <c r="H10" i="1"/>
  <c r="H7" i="1"/>
  <c r="X21" i="5"/>
  <c r="A20" i="5"/>
  <c r="A17" i="5"/>
  <c r="A18" i="5"/>
  <c r="P9" i="5"/>
  <c r="A10" i="5"/>
  <c r="A9" i="5"/>
  <c r="R13" i="2"/>
  <c r="A20" i="2"/>
  <c r="A21" i="2"/>
  <c r="Q13" i="2"/>
  <c r="Q12" i="2"/>
  <c r="Q11" i="2"/>
  <c r="Q10" i="2"/>
  <c r="Q9" i="2"/>
  <c r="Q8" i="2"/>
  <c r="Q7" i="2"/>
  <c r="Q6" i="2"/>
  <c r="Q5" i="2"/>
  <c r="Q4" i="2"/>
  <c r="G10" i="2"/>
  <c r="G9" i="2"/>
  <c r="G8" i="2"/>
  <c r="G7" i="2"/>
  <c r="G6" i="2"/>
  <c r="G5" i="2"/>
  <c r="A23" i="2"/>
  <c r="A17" i="1"/>
  <c r="A18" i="1" s="1"/>
  <c r="A9" i="1"/>
  <c r="A10" i="1"/>
</calcChain>
</file>

<file path=xl/sharedStrings.xml><?xml version="1.0" encoding="utf-8"?>
<sst xmlns="http://schemas.openxmlformats.org/spreadsheetml/2006/main" count="428" uniqueCount="218">
  <si>
    <t>Y</t>
  </si>
  <si>
    <t>X</t>
  </si>
  <si>
    <t>n</t>
  </si>
  <si>
    <t>number of years</t>
  </si>
  <si>
    <t>B</t>
  </si>
  <si>
    <t>AARC</t>
  </si>
  <si>
    <t>time 1</t>
  </si>
  <si>
    <t>time 2</t>
  </si>
  <si>
    <r>
      <t>Y = X * (1 + B)</t>
    </r>
    <r>
      <rPr>
        <vertAlign val="superscript"/>
        <sz val="12"/>
        <color rgb="FF222222"/>
        <rFont val="Arial"/>
        <family val="2"/>
      </rPr>
      <t>n</t>
    </r>
  </si>
  <si>
    <t>B=[(Y/X)^(1/n)] - 1</t>
  </si>
  <si>
    <r>
      <t>Y = X * (1 - B)</t>
    </r>
    <r>
      <rPr>
        <vertAlign val="superscript"/>
        <sz val="12"/>
        <color rgb="FF222222"/>
        <rFont val="Arial"/>
        <family val="2"/>
      </rPr>
      <t>n</t>
    </r>
  </si>
  <si>
    <t>B=1-[(Y/X)^(1/n)]</t>
  </si>
  <si>
    <t>Average annual rate of change (AARC) calculator</t>
  </si>
  <si>
    <r>
      <rPr>
        <sz val="11"/>
        <color rgb="FFFF0000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in prevalence/rate between time one and time two</t>
    </r>
  </si>
  <si>
    <r>
      <rPr>
        <sz val="11"/>
        <color rgb="FFFF000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in prevalence/rate between time one and time two</t>
    </r>
  </si>
  <si>
    <t>Fill in yellow boxes</t>
  </si>
  <si>
    <t>AARC (percent)</t>
  </si>
  <si>
    <t>Country</t>
  </si>
  <si>
    <t>Baseline Result</t>
  </si>
  <si>
    <t>Baseline Confidence Intervals</t>
  </si>
  <si>
    <t>Interim Result</t>
  </si>
  <si>
    <t>Interim</t>
  </si>
  <si>
    <t>Confidence Intervals</t>
  </si>
  <si>
    <t>Difference Baseline to Interim</t>
  </si>
  <si>
    <t>FY17 Target</t>
  </si>
  <si>
    <t>Bangladesh</t>
  </si>
  <si>
    <t>40.5% (2011)</t>
  </si>
  <si>
    <t>37.0 - 43.9</t>
  </si>
  <si>
    <t>34.0% (2015)</t>
  </si>
  <si>
    <t>31.9 - 36.1</t>
  </si>
  <si>
    <t>Cambodia</t>
  </si>
  <si>
    <t>11.7% (2009)</t>
  </si>
  <si>
    <t>10.4 - 12.9</t>
  </si>
  <si>
    <t>8.7% (2015)</t>
  </si>
  <si>
    <t>6.9 - 10.4</t>
  </si>
  <si>
    <t>Ethiopia*</t>
  </si>
  <si>
    <t>39.9% (2013)</t>
  </si>
  <si>
    <t>36.1 - 43.8</t>
  </si>
  <si>
    <t>35.0% (2015)</t>
  </si>
  <si>
    <t>31.8 - 38.3</t>
  </si>
  <si>
    <t>Ghana*</t>
  </si>
  <si>
    <t>22.2% (2012)</t>
  </si>
  <si>
    <t>19.2 - 25.2</t>
  </si>
  <si>
    <t>19.6% (2015)</t>
  </si>
  <si>
    <t>17.1 - 22.1</t>
  </si>
  <si>
    <t>Guatemala*</t>
  </si>
  <si>
    <t>5.9% (2013)</t>
  </si>
  <si>
    <t>3.97 - 7.8</t>
  </si>
  <si>
    <t>4.3% (2015)</t>
  </si>
  <si>
    <t>2.76 - 5.8</t>
  </si>
  <si>
    <t>Honduras</t>
  </si>
  <si>
    <t>45.8% (2012)</t>
  </si>
  <si>
    <t>42.6 - 49.0</t>
  </si>
  <si>
    <t>45.8% (2015)</t>
  </si>
  <si>
    <t>43.4 - 48.2</t>
  </si>
  <si>
    <t>Kenya (HR/SA)</t>
  </si>
  <si>
    <t>44.7% (2008/9)</t>
  </si>
  <si>
    <t>42.65 - 46.75</t>
  </si>
  <si>
    <t>46.9% (2015)</t>
  </si>
  <si>
    <t>43.02 - 50.87</t>
  </si>
  <si>
    <t>N/A</t>
  </si>
  <si>
    <t>Kenya (northern)</t>
  </si>
  <si>
    <t>61.9% (2013)</t>
  </si>
  <si>
    <t>55.7 - 68.1</t>
  </si>
  <si>
    <t>58.5% (2015)</t>
  </si>
  <si>
    <t>51.3 - 65.3</t>
  </si>
  <si>
    <t>Liberia*</t>
  </si>
  <si>
    <t>49.4% (2012)</t>
  </si>
  <si>
    <t>42.9 - 55.9</t>
  </si>
  <si>
    <t>39.8% (2015)</t>
  </si>
  <si>
    <t>36.1 - 43.5</t>
  </si>
  <si>
    <t>Malawi</t>
  </si>
  <si>
    <t>66.7% (2010/11)</t>
  </si>
  <si>
    <t>63.4 - 69.9</t>
  </si>
  <si>
    <t>54.5% (2015)</t>
  </si>
  <si>
    <t>46.2 - 62.5</t>
  </si>
  <si>
    <t>Mozambique</t>
  </si>
  <si>
    <t>62.0% (2013/4)</t>
  </si>
  <si>
    <t>57.6 - 66.4</t>
  </si>
  <si>
    <t>66.5% (2015)</t>
  </si>
  <si>
    <t>59.4-72.8</t>
  </si>
  <si>
    <t>Nepal*</t>
  </si>
  <si>
    <t>32.5% (2011)</t>
  </si>
  <si>
    <t>28.0 - 37.0</t>
  </si>
  <si>
    <t>20.9% (2014)</t>
  </si>
  <si>
    <t>15.2 - 28.2</t>
  </si>
  <si>
    <t>Rwanda</t>
  </si>
  <si>
    <t>67% (2010/11)</t>
  </si>
  <si>
    <t>65.3 - 68.6</t>
  </si>
  <si>
    <t>62.0% (2013/14)</t>
  </si>
  <si>
    <t>60.7 - 63.3</t>
  </si>
  <si>
    <t>Senegal</t>
  </si>
  <si>
    <t>34.3% (2012/13)</t>
  </si>
  <si>
    <t>29.9 - 38.7</t>
  </si>
  <si>
    <t>40.5% (2015/16)</t>
  </si>
  <si>
    <t>35.8 - 45.3</t>
  </si>
  <si>
    <t>Tajikistan</t>
  </si>
  <si>
    <t>8.8% (2013)</t>
  </si>
  <si>
    <t>7.5 - 10.1</t>
  </si>
  <si>
    <t>10.4% (2015)</t>
  </si>
  <si>
    <t>7.1 - 13.7</t>
  </si>
  <si>
    <t>Tanzania*</t>
  </si>
  <si>
    <t>37.20% (2010/11)</t>
  </si>
  <si>
    <t>32.6 - 41.8</t>
  </si>
  <si>
    <t>28.2% (2014/15)</t>
  </si>
  <si>
    <t>22.7 - 33.8</t>
  </si>
  <si>
    <t>Uganda</t>
  </si>
  <si>
    <t>32.9% (2009/10)</t>
  </si>
  <si>
    <t>29.4 - 36.3</t>
  </si>
  <si>
    <t>32.1% (2012/13)</t>
  </si>
  <si>
    <t>29.1 - 35.2</t>
  </si>
  <si>
    <t>Zambia</t>
  </si>
  <si>
    <t>88% (2010)</t>
  </si>
  <si>
    <t>85.4 – 90.6</t>
  </si>
  <si>
    <t>80.90% (2015)</t>
  </si>
  <si>
    <t>77.1 – 84.8</t>
  </si>
  <si>
    <t xml:space="preserve">70.4** </t>
  </si>
  <si>
    <t>at current AARR</t>
  </si>
  <si>
    <t>36.9% (2011)</t>
  </si>
  <si>
    <t>34.6 - 39.2</t>
  </si>
  <si>
    <t>32.3% (2014)</t>
  </si>
  <si>
    <t>30.0 - 34.6</t>
  </si>
  <si>
    <t>43.95% (2011)</t>
  </si>
  <si>
    <t>40.4 - 47.5</t>
  </si>
  <si>
    <t>33.7% (2014)</t>
  </si>
  <si>
    <t>29.1 - 38.2</t>
  </si>
  <si>
    <t>Ethiopia</t>
  </si>
  <si>
    <t>49.2% (2013)</t>
  </si>
  <si>
    <t>46.9 - 51.5</t>
  </si>
  <si>
    <t>47.1% (2015)</t>
  </si>
  <si>
    <t>45.1 - 49.1</t>
  </si>
  <si>
    <t>Ghana</t>
  </si>
  <si>
    <t>36.1% (2012)</t>
  </si>
  <si>
    <t>32.9 - 39.2</t>
  </si>
  <si>
    <t>29.9% (2015)</t>
  </si>
  <si>
    <t>27.0 - 32.8</t>
  </si>
  <si>
    <t>67.4% (2013)</t>
  </si>
  <si>
    <t>62.7 - 72.1</t>
  </si>
  <si>
    <t>63.3% (2015)</t>
  </si>
  <si>
    <t>58.9 - 67.8</t>
  </si>
  <si>
    <t>38.3% (2012)</t>
  </si>
  <si>
    <t>34.8 - 41.9</t>
  </si>
  <si>
    <t>26.1% (2015)</t>
  </si>
  <si>
    <t>23.3 - 28.9</t>
  </si>
  <si>
    <t>35.1% (2008/9)</t>
  </si>
  <si>
    <t>33.31 - 36.89</t>
  </si>
  <si>
    <t>20.9% (2015)</t>
  </si>
  <si>
    <t>16.93 - 25.57</t>
  </si>
  <si>
    <t>27.6% (2013)</t>
  </si>
  <si>
    <t>23.6 - 31.6</t>
  </si>
  <si>
    <t>26.3% (2015)</t>
  </si>
  <si>
    <t>21.8 - 31.3</t>
  </si>
  <si>
    <t>Liberia**</t>
  </si>
  <si>
    <t>43.1% (2010)</t>
  </si>
  <si>
    <t>n/a***</t>
  </si>
  <si>
    <t>34.3% (2015)</t>
  </si>
  <si>
    <t>32.0 - 36.6</t>
  </si>
  <si>
    <t>Malawi*</t>
  </si>
  <si>
    <t>49.2% (2010)</t>
  </si>
  <si>
    <t>45.3 - 53.1</t>
  </si>
  <si>
    <t>42.3% (2015)</t>
  </si>
  <si>
    <t>38.1 - 46.6</t>
  </si>
  <si>
    <t>51.6% (2011)</t>
  </si>
  <si>
    <t>48 - 55.1</t>
  </si>
  <si>
    <t>51.8% (2015)</t>
  </si>
  <si>
    <t>46.2 – 57.4</t>
  </si>
  <si>
    <t>Nepal</t>
  </si>
  <si>
    <t>45.2% (2011)</t>
  </si>
  <si>
    <t>39.8 - 50.5</t>
  </si>
  <si>
    <t>47.0% (2014)</t>
  </si>
  <si>
    <t>42.8 - 51.2</t>
  </si>
  <si>
    <t>46.3% (2010/11)</t>
  </si>
  <si>
    <t>44.3 - 48.3</t>
  </si>
  <si>
    <t>39.7% (2014/15)</t>
  </si>
  <si>
    <t>37.8 - 41.6</t>
  </si>
  <si>
    <t>23.1% (2012/13)</t>
  </si>
  <si>
    <t>19.7 - 26.4</t>
  </si>
  <si>
    <t>25.8% (2015/16)</t>
  </si>
  <si>
    <t>23.6 - 28.2</t>
  </si>
  <si>
    <t>30.7% (2013)</t>
  </si>
  <si>
    <t>27.4 - 34.0</t>
  </si>
  <si>
    <t>29.3% (2015)</t>
  </si>
  <si>
    <t>26.6 - 32.0</t>
  </si>
  <si>
    <t>Tanzania</t>
  </si>
  <si>
    <t>34.7% (2010/11)</t>
  </si>
  <si>
    <t>29.2 - 40.2</t>
  </si>
  <si>
    <t>37.7% (2014/15)</t>
  </si>
  <si>
    <t>31.0 - 44.3</t>
  </si>
  <si>
    <t>33.0% (2012)</t>
  </si>
  <si>
    <t>30.1 - 35.9</t>
  </si>
  <si>
    <t>29.2% (2015)</t>
  </si>
  <si>
    <t>25.8 - 32.8</t>
  </si>
  <si>
    <t>45.5% (2012)</t>
  </si>
  <si>
    <t>41.2 – 49.9</t>
  </si>
  <si>
    <t>38.4% (2015)</t>
  </si>
  <si>
    <t>32.1 – 45.1</t>
  </si>
  <si>
    <t>TAM</t>
  </si>
  <si>
    <t>GOING UP - not SS</t>
  </si>
  <si>
    <r>
      <t xml:space="preserve">BLUE on-track to meet target at current AARR. TAM = target already met. </t>
    </r>
    <r>
      <rPr>
        <sz val="11"/>
        <color rgb="FFFF0000"/>
        <rFont val="Calibri"/>
        <family val="2"/>
        <scheme val="minor"/>
      </rPr>
      <t xml:space="preserve">Red = not on track to meet target SS change. </t>
    </r>
  </si>
  <si>
    <t>Difference Baseline to Interim %</t>
  </si>
  <si>
    <t>Difference Baseline to Interim PPT</t>
  </si>
  <si>
    <t>POVERTY</t>
  </si>
  <si>
    <t>STUNTING</t>
  </si>
  <si>
    <t>`</t>
  </si>
  <si>
    <t>On track?</t>
  </si>
  <si>
    <t>NO</t>
  </si>
  <si>
    <t>?</t>
  </si>
  <si>
    <t>? (partial ZOI)</t>
  </si>
  <si>
    <t>Liberia</t>
  </si>
  <si>
    <t>YES</t>
  </si>
  <si>
    <t>EXCEEDED</t>
  </si>
  <si>
    <t>48.3% (2010/11)</t>
  </si>
  <si>
    <t xml:space="preserve">Target was straightlined because Mission does not expect programs to have changed previous trend, which has stagnated </t>
  </si>
  <si>
    <t>ALMOST (will miss by one percentage point)</t>
  </si>
  <si>
    <t>Total percent change</t>
  </si>
  <si>
    <t>Total change given positive AARC</t>
  </si>
  <si>
    <t>Extrapolate change over time</t>
  </si>
  <si>
    <t>Total change given negative AARC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</si>
</sst>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vertAlign val="superscript"/>
      <sz val="12"/>
      <color rgb="FF222222"/>
      <name val="Arial"/>
      <family val="2"/>
    </font>
    <font>
      <sz val="12"/>
      <color rgb="FF000000"/>
      <name val="Verdana"/>
      <family val="2"/>
    </font>
    <font>
      <b/>
      <sz val="13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FFFF"/>
      <name val="Times New Roman"/>
      <family val="1"/>
    </font>
    <font>
      <b/>
      <sz val="9"/>
      <color rgb="FF008000"/>
      <name val="Times New Roman"/>
      <family val="1"/>
    </font>
    <font>
      <sz val="9"/>
      <color rgb="FF000000"/>
      <name val="Times New Roman"/>
      <family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0" fillId="0" borderId="0" xfId="0" applyFont="1"/>
    <xf numFmtId="0" fontId="0" fillId="2" borderId="0" xfId="0" applyNumberFormat="1" applyFill="1"/>
    <xf numFmtId="164" fontId="0" fillId="0" borderId="0" xfId="1" applyNumberFormat="1" applyFont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 wrapText="1"/>
    </xf>
    <xf numFmtId="10" fontId="9" fillId="4" borderId="4" xfId="0" applyNumberFormat="1" applyFont="1" applyFill="1" applyBorder="1" applyAlignment="1">
      <alignment horizontal="right" vertical="center" wrapText="1"/>
    </xf>
    <xf numFmtId="9" fontId="9" fillId="4" borderId="4" xfId="0" applyNumberFormat="1" applyFont="1" applyFill="1" applyBorder="1" applyAlignment="1">
      <alignment horizontal="right" vertical="center" wrapText="1"/>
    </xf>
    <xf numFmtId="0" fontId="10" fillId="4" borderId="2" xfId="0" applyFont="1" applyFill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 wrapText="1"/>
    </xf>
    <xf numFmtId="10" fontId="10" fillId="4" borderId="4" xfId="0" applyNumberFormat="1" applyFont="1" applyFill="1" applyBorder="1" applyAlignment="1">
      <alignment horizontal="right" vertical="center" wrapText="1"/>
    </xf>
    <xf numFmtId="9" fontId="10" fillId="4" borderId="4" xfId="0" applyNumberFormat="1" applyFont="1" applyFill="1" applyBorder="1" applyAlignment="1">
      <alignment horizontal="right" vertical="center" wrapText="1"/>
    </xf>
    <xf numFmtId="0" fontId="7" fillId="4" borderId="4" xfId="0" applyFont="1" applyFill="1" applyBorder="1" applyAlignment="1">
      <alignment horizontal="right" vertical="center" wrapText="1"/>
    </xf>
    <xf numFmtId="0" fontId="7" fillId="4" borderId="4" xfId="0" applyFont="1" applyFill="1" applyBorder="1" applyAlignment="1">
      <alignment vertical="top" wrapText="1"/>
    </xf>
    <xf numFmtId="2" fontId="0" fillId="0" borderId="0" xfId="1" applyNumberFormat="1" applyFont="1"/>
    <xf numFmtId="2" fontId="2" fillId="0" borderId="0" xfId="1" applyNumberFormat="1" applyFont="1"/>
    <xf numFmtId="0" fontId="9" fillId="5" borderId="2" xfId="0" applyFont="1" applyFill="1" applyBorder="1" applyAlignment="1">
      <alignment horizontal="right" vertical="center" wrapText="1"/>
    </xf>
    <xf numFmtId="0" fontId="9" fillId="5" borderId="4" xfId="0" applyFont="1" applyFill="1" applyBorder="1" applyAlignment="1">
      <alignment horizontal="right" vertical="center" wrapText="1"/>
    </xf>
    <xf numFmtId="10" fontId="9" fillId="5" borderId="4" xfId="0" applyNumberFormat="1" applyFont="1" applyFill="1" applyBorder="1" applyAlignment="1">
      <alignment horizontal="right" vertical="center" wrapText="1"/>
    </xf>
    <xf numFmtId="0" fontId="10" fillId="5" borderId="2" xfId="0" applyFont="1" applyFill="1" applyBorder="1" applyAlignment="1">
      <alignment horizontal="right" vertical="center" wrapText="1"/>
    </xf>
    <xf numFmtId="0" fontId="10" fillId="5" borderId="4" xfId="0" applyFont="1" applyFill="1" applyBorder="1" applyAlignment="1">
      <alignment horizontal="right" vertical="center" wrapText="1"/>
    </xf>
    <xf numFmtId="10" fontId="10" fillId="5" borderId="4" xfId="0" applyNumberFormat="1" applyFont="1" applyFill="1" applyBorder="1" applyAlignment="1">
      <alignment horizontal="right" vertical="center" wrapText="1"/>
    </xf>
    <xf numFmtId="9" fontId="10" fillId="5" borderId="4" xfId="0" applyNumberFormat="1" applyFont="1" applyFill="1" applyBorder="1" applyAlignment="1">
      <alignment horizontal="right" vertical="center" wrapText="1"/>
    </xf>
    <xf numFmtId="9" fontId="9" fillId="5" borderId="4" xfId="0" applyNumberFormat="1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wrapText="1"/>
    </xf>
    <xf numFmtId="0" fontId="7" fillId="5" borderId="4" xfId="0" applyFont="1" applyFill="1" applyBorder="1" applyAlignment="1">
      <alignment vertical="top" wrapText="1"/>
    </xf>
    <xf numFmtId="2" fontId="11" fillId="0" borderId="0" xfId="1" applyNumberFormat="1" applyFont="1"/>
    <xf numFmtId="2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 wrapText="1"/>
    </xf>
    <xf numFmtId="2" fontId="12" fillId="0" borderId="0" xfId="1" applyNumberFormat="1" applyFont="1"/>
    <xf numFmtId="2" fontId="12" fillId="0" borderId="0" xfId="1" applyNumberFormat="1" applyFont="1" applyAlignment="1">
      <alignment horizontal="center"/>
    </xf>
    <xf numFmtId="0" fontId="0" fillId="6" borderId="0" xfId="0" applyFill="1" applyBorder="1"/>
    <xf numFmtId="2" fontId="0" fillId="6" borderId="0" xfId="1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right" vertical="center" wrapText="1"/>
    </xf>
    <xf numFmtId="10" fontId="9" fillId="6" borderId="0" xfId="0" applyNumberFormat="1" applyFont="1" applyFill="1" applyBorder="1" applyAlignment="1">
      <alignment horizontal="right" vertical="center" wrapText="1"/>
    </xf>
    <xf numFmtId="2" fontId="0" fillId="6" borderId="0" xfId="1" applyNumberFormat="1" applyFont="1" applyFill="1" applyBorder="1" applyAlignment="1">
      <alignment horizontal="center" wrapText="1"/>
    </xf>
    <xf numFmtId="2" fontId="2" fillId="6" borderId="0" xfId="1" applyNumberFormat="1" applyFont="1" applyFill="1" applyBorder="1"/>
    <xf numFmtId="0" fontId="10" fillId="6" borderId="0" xfId="0" applyFont="1" applyFill="1" applyBorder="1" applyAlignment="1">
      <alignment horizontal="right" vertical="center" wrapText="1"/>
    </xf>
    <xf numFmtId="9" fontId="9" fillId="6" borderId="0" xfId="0" applyNumberFormat="1" applyFont="1" applyFill="1" applyBorder="1" applyAlignment="1">
      <alignment horizontal="right" vertical="center" wrapText="1"/>
    </xf>
    <xf numFmtId="2" fontId="11" fillId="6" borderId="0" xfId="1" applyNumberFormat="1" applyFont="1" applyFill="1" applyBorder="1"/>
    <xf numFmtId="0" fontId="0" fillId="0" borderId="0" xfId="0" applyAlignment="1">
      <alignment vertical="center"/>
    </xf>
    <xf numFmtId="2" fontId="12" fillId="0" borderId="0" xfId="1" applyNumberFormat="1" applyFont="1" applyAlignment="1">
      <alignment vertical="center"/>
    </xf>
    <xf numFmtId="2" fontId="12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vertical="center"/>
    </xf>
    <xf numFmtId="0" fontId="0" fillId="6" borderId="0" xfId="0" applyFill="1" applyBorder="1" applyAlignment="1">
      <alignment vertical="center"/>
    </xf>
    <xf numFmtId="2" fontId="0" fillId="6" borderId="0" xfId="1" applyNumberFormat="1" applyFont="1" applyFill="1" applyBorder="1" applyAlignment="1">
      <alignment horizontal="center" vertical="center"/>
    </xf>
    <xf numFmtId="2" fontId="0" fillId="6" borderId="0" xfId="1" applyNumberFormat="1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righ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13" fillId="6" borderId="8" xfId="0" applyFont="1" applyFill="1" applyBorder="1" applyAlignment="1">
      <alignment horizontal="right" vertical="center" wrapText="1"/>
    </xf>
    <xf numFmtId="10" fontId="10" fillId="6" borderId="8" xfId="0" applyNumberFormat="1" applyFont="1" applyFill="1" applyBorder="1" applyAlignment="1">
      <alignment horizontal="right" vertical="center" wrapText="1"/>
    </xf>
    <xf numFmtId="9" fontId="10" fillId="6" borderId="8" xfId="0" applyNumberFormat="1" applyFont="1" applyFill="1" applyBorder="1" applyAlignment="1">
      <alignment horizontal="right" vertical="center" wrapText="1"/>
    </xf>
    <xf numFmtId="0" fontId="7" fillId="6" borderId="8" xfId="0" applyFont="1" applyFill="1" applyBorder="1" applyAlignment="1">
      <alignment horizontal="right" vertical="center" wrapText="1"/>
    </xf>
    <xf numFmtId="0" fontId="10" fillId="7" borderId="8" xfId="0" applyFont="1" applyFill="1" applyBorder="1" applyAlignment="1">
      <alignment horizontal="right" vertical="center" wrapText="1"/>
    </xf>
    <xf numFmtId="165" fontId="10" fillId="6" borderId="8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12" fillId="0" borderId="8" xfId="1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left" vertical="center"/>
    </xf>
    <xf numFmtId="9" fontId="7" fillId="6" borderId="8" xfId="1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9" fontId="0" fillId="0" borderId="0" xfId="1" applyFont="1"/>
    <xf numFmtId="2" fontId="12" fillId="0" borderId="8" xfId="1" applyNumberFormat="1" applyFont="1" applyBorder="1" applyAlignment="1">
      <alignment vertical="center" wrapText="1"/>
    </xf>
    <xf numFmtId="165" fontId="0" fillId="6" borderId="0" xfId="0" applyNumberFormat="1" applyFill="1"/>
    <xf numFmtId="165" fontId="0" fillId="2" borderId="0" xfId="0" applyNumberFormat="1" applyFill="1"/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17" sqref="H17"/>
    </sheetView>
  </sheetViews>
  <sheetFormatPr defaultRowHeight="14.4" x14ac:dyDescent="0.3"/>
  <sheetData>
    <row r="1" spans="1:11" ht="95.25" customHeight="1" x14ac:dyDescent="0.35">
      <c r="A1" s="4" t="s">
        <v>12</v>
      </c>
      <c r="B1" s="4"/>
      <c r="C1" s="4"/>
      <c r="D1" s="4"/>
      <c r="E1" s="4"/>
      <c r="F1" s="4"/>
      <c r="H1" s="4" t="s">
        <v>216</v>
      </c>
    </row>
    <row r="2" spans="1:11" ht="14.4" customHeight="1" x14ac:dyDescent="0.3">
      <c r="A2" s="5" t="s">
        <v>15</v>
      </c>
      <c r="B2" s="5"/>
      <c r="C2" s="5"/>
      <c r="D2" s="5"/>
      <c r="E2" s="5"/>
      <c r="F2" s="5"/>
    </row>
    <row r="3" spans="1:11" x14ac:dyDescent="0.3">
      <c r="A3" s="5"/>
      <c r="B3" s="5"/>
      <c r="C3" s="5"/>
      <c r="D3" s="5"/>
      <c r="E3" s="5"/>
      <c r="F3" s="5"/>
    </row>
    <row r="4" spans="1:11" x14ac:dyDescent="0.3">
      <c r="A4" t="s">
        <v>13</v>
      </c>
      <c r="H4" t="s">
        <v>215</v>
      </c>
    </row>
    <row r="5" spans="1:11" x14ac:dyDescent="0.3">
      <c r="A5" s="1"/>
      <c r="B5" s="1"/>
      <c r="C5" s="1"/>
      <c r="D5" s="1"/>
    </row>
    <row r="6" spans="1:11" x14ac:dyDescent="0.3">
      <c r="A6" s="70">
        <v>40</v>
      </c>
      <c r="B6" s="1" t="s">
        <v>1</v>
      </c>
      <c r="C6" s="1" t="s">
        <v>6</v>
      </c>
      <c r="D6" s="1"/>
      <c r="H6" s="70">
        <v>40</v>
      </c>
      <c r="I6" s="1" t="s">
        <v>1</v>
      </c>
      <c r="J6" s="1" t="s">
        <v>6</v>
      </c>
      <c r="K6" s="1"/>
    </row>
    <row r="7" spans="1:11" ht="18" x14ac:dyDescent="0.3">
      <c r="A7" s="70">
        <v>60</v>
      </c>
      <c r="B7" s="1" t="s">
        <v>0</v>
      </c>
      <c r="C7" s="1" t="s">
        <v>7</v>
      </c>
      <c r="D7" s="2" t="s">
        <v>8</v>
      </c>
      <c r="H7" s="69">
        <f>+H6*(1+H9)^H8</f>
        <v>42.848999999999997</v>
      </c>
      <c r="I7" s="1" t="s">
        <v>0</v>
      </c>
      <c r="J7" s="1" t="s">
        <v>7</v>
      </c>
      <c r="K7" s="2" t="s">
        <v>8</v>
      </c>
    </row>
    <row r="8" spans="1:11" x14ac:dyDescent="0.3">
      <c r="A8" s="6">
        <v>2</v>
      </c>
      <c r="B8" s="1" t="s">
        <v>2</v>
      </c>
      <c r="C8" s="1" t="s">
        <v>3</v>
      </c>
      <c r="D8" s="1"/>
      <c r="H8" s="6">
        <v>2</v>
      </c>
      <c r="I8" s="1" t="s">
        <v>2</v>
      </c>
      <c r="J8" s="1" t="s">
        <v>3</v>
      </c>
      <c r="K8" s="1"/>
    </row>
    <row r="9" spans="1:11" ht="16.2" x14ac:dyDescent="0.3">
      <c r="A9" s="1">
        <f>((A7/A6)^(1/A8))-1</f>
        <v>0.22474487139158894</v>
      </c>
      <c r="B9" s="1" t="s">
        <v>4</v>
      </c>
      <c r="C9" s="1" t="s">
        <v>5</v>
      </c>
      <c r="D9" s="3" t="s">
        <v>9</v>
      </c>
      <c r="H9" s="6">
        <v>3.5000000000000003E-2</v>
      </c>
      <c r="I9" s="1" t="s">
        <v>4</v>
      </c>
      <c r="J9" s="1" t="s">
        <v>5</v>
      </c>
      <c r="K9" s="3" t="s">
        <v>9</v>
      </c>
    </row>
    <row r="10" spans="1:11" x14ac:dyDescent="0.3">
      <c r="A10" s="7">
        <f>+A9</f>
        <v>0.22474487139158894</v>
      </c>
      <c r="B10" s="1"/>
      <c r="C10" s="1" t="s">
        <v>16</v>
      </c>
      <c r="D10" s="1"/>
      <c r="H10" s="7">
        <f>H7/H6-1</f>
        <v>7.1224999999999872E-2</v>
      </c>
      <c r="I10" s="1"/>
      <c r="J10" s="1" t="s">
        <v>214</v>
      </c>
      <c r="K10" s="1"/>
    </row>
    <row r="11" spans="1:11" x14ac:dyDescent="0.3">
      <c r="A11" s="1"/>
      <c r="B11" s="1"/>
      <c r="C11" s="1"/>
      <c r="D11" s="1"/>
    </row>
    <row r="12" spans="1:11" x14ac:dyDescent="0.3">
      <c r="A12" t="s">
        <v>14</v>
      </c>
      <c r="H12" t="s">
        <v>217</v>
      </c>
    </row>
    <row r="14" spans="1:11" x14ac:dyDescent="0.3">
      <c r="A14" s="70">
        <v>88</v>
      </c>
      <c r="B14" s="1" t="s">
        <v>1</v>
      </c>
      <c r="C14" s="1" t="s">
        <v>6</v>
      </c>
      <c r="D14" s="1"/>
      <c r="H14" s="70">
        <v>80.900000000000006</v>
      </c>
      <c r="I14" s="1" t="s">
        <v>1</v>
      </c>
      <c r="J14" s="1" t="s">
        <v>6</v>
      </c>
      <c r="K14" s="1"/>
    </row>
    <row r="15" spans="1:11" ht="18" x14ac:dyDescent="0.3">
      <c r="A15" s="70">
        <v>80.900000000000006</v>
      </c>
      <c r="B15" s="1" t="s">
        <v>0</v>
      </c>
      <c r="C15" s="1" t="s">
        <v>7</v>
      </c>
      <c r="D15" s="2" t="s">
        <v>10</v>
      </c>
      <c r="H15" s="69">
        <f>+H14*(1-H17)^H16</f>
        <v>78.172780099999997</v>
      </c>
      <c r="I15" s="1" t="s">
        <v>0</v>
      </c>
      <c r="J15" s="1" t="s">
        <v>7</v>
      </c>
      <c r="K15" s="2" t="s">
        <v>8</v>
      </c>
    </row>
    <row r="16" spans="1:11" x14ac:dyDescent="0.3">
      <c r="A16" s="6">
        <v>5</v>
      </c>
      <c r="B16" s="1" t="s">
        <v>2</v>
      </c>
      <c r="C16" s="1" t="s">
        <v>3</v>
      </c>
      <c r="D16" s="1"/>
      <c r="H16" s="6">
        <v>2</v>
      </c>
      <c r="I16" s="1" t="s">
        <v>2</v>
      </c>
      <c r="J16" s="1" t="s">
        <v>3</v>
      </c>
      <c r="K16" s="1"/>
    </row>
    <row r="17" spans="1:11" ht="16.2" x14ac:dyDescent="0.3">
      <c r="A17" s="1">
        <f>(1-((A15/A14)^(1/A16)))*(-1)</f>
        <v>-1.6683854953373989E-2</v>
      </c>
      <c r="B17" s="1" t="s">
        <v>4</v>
      </c>
      <c r="C17" s="1" t="s">
        <v>5</v>
      </c>
      <c r="D17" s="3" t="s">
        <v>11</v>
      </c>
      <c r="H17" s="6">
        <v>1.7000000000000001E-2</v>
      </c>
      <c r="I17" s="1" t="s">
        <v>4</v>
      </c>
      <c r="J17" s="1" t="s">
        <v>5</v>
      </c>
      <c r="K17" s="3" t="s">
        <v>9</v>
      </c>
    </row>
    <row r="18" spans="1:11" x14ac:dyDescent="0.3">
      <c r="A18" s="7">
        <f>+A17</f>
        <v>-1.6683854953373989E-2</v>
      </c>
      <c r="B18" s="1"/>
      <c r="C18" s="1" t="s">
        <v>16</v>
      </c>
      <c r="D18" s="1"/>
      <c r="H18" s="7">
        <f>H15/H14-1</f>
        <v>-3.3711000000000158E-2</v>
      </c>
      <c r="I18" s="1"/>
      <c r="J18" s="1" t="s">
        <v>214</v>
      </c>
      <c r="K18" s="1"/>
    </row>
    <row r="22" spans="1:11" x14ac:dyDescent="0.3">
      <c r="G22">
        <v>88</v>
      </c>
    </row>
    <row r="23" spans="1:11" x14ac:dyDescent="0.3">
      <c r="G23">
        <v>0.1</v>
      </c>
    </row>
    <row r="24" spans="1:11" x14ac:dyDescent="0.3">
      <c r="G24">
        <f>+G22*(1-G23)</f>
        <v>79.2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G5" workbookViewId="0">
      <selection activeCell="H25" sqref="H25"/>
    </sheetView>
  </sheetViews>
  <sheetFormatPr defaultRowHeight="14.4" x14ac:dyDescent="0.3"/>
  <sheetData>
    <row r="1" spans="1:25" ht="95.25" customHeight="1" thickBot="1" x14ac:dyDescent="0.4">
      <c r="A1" s="4" t="s">
        <v>12</v>
      </c>
      <c r="B1" s="4"/>
      <c r="C1" s="4"/>
      <c r="D1" s="4"/>
      <c r="E1" s="4"/>
      <c r="F1" s="4"/>
      <c r="P1" s="74" t="s">
        <v>198</v>
      </c>
      <c r="Q1" s="74"/>
      <c r="R1" s="74"/>
      <c r="S1" s="74"/>
      <c r="T1" s="74"/>
    </row>
    <row r="2" spans="1:25" x14ac:dyDescent="0.3">
      <c r="A2" s="5" t="s">
        <v>15</v>
      </c>
      <c r="B2" s="5"/>
      <c r="C2" s="5"/>
      <c r="D2" s="5"/>
      <c r="E2" s="5"/>
      <c r="F2" s="5"/>
      <c r="I2" s="71" t="s">
        <v>17</v>
      </c>
      <c r="J2" s="71" t="s">
        <v>18</v>
      </c>
      <c r="K2" s="71" t="s">
        <v>19</v>
      </c>
      <c r="L2" s="71" t="s">
        <v>20</v>
      </c>
      <c r="M2" s="8" t="s">
        <v>21</v>
      </c>
      <c r="N2" s="71" t="s">
        <v>23</v>
      </c>
      <c r="O2" s="71" t="s">
        <v>24</v>
      </c>
      <c r="P2" s="73" t="s">
        <v>117</v>
      </c>
      <c r="R2" s="71" t="s">
        <v>17</v>
      </c>
      <c r="S2" s="71" t="s">
        <v>18</v>
      </c>
      <c r="T2" s="71" t="s">
        <v>19</v>
      </c>
      <c r="U2" s="71" t="s">
        <v>20</v>
      </c>
      <c r="V2" s="8" t="s">
        <v>21</v>
      </c>
      <c r="W2" s="71" t="s">
        <v>23</v>
      </c>
      <c r="X2" s="71" t="s">
        <v>24</v>
      </c>
      <c r="Y2" s="73" t="s">
        <v>117</v>
      </c>
    </row>
    <row r="3" spans="1:25" ht="23.4" thickBot="1" x14ac:dyDescent="0.35">
      <c r="A3" s="5"/>
      <c r="B3" s="5"/>
      <c r="C3" s="5"/>
      <c r="D3" s="5"/>
      <c r="E3" s="5"/>
      <c r="F3" s="5"/>
      <c r="I3" s="72"/>
      <c r="J3" s="72"/>
      <c r="K3" s="72"/>
      <c r="L3" s="72"/>
      <c r="M3" s="9" t="s">
        <v>22</v>
      </c>
      <c r="N3" s="72"/>
      <c r="O3" s="72"/>
      <c r="P3" s="73"/>
      <c r="R3" s="72"/>
      <c r="S3" s="72"/>
      <c r="T3" s="72"/>
      <c r="U3" s="72"/>
      <c r="V3" s="9" t="s">
        <v>22</v>
      </c>
      <c r="W3" s="72"/>
      <c r="X3" s="72"/>
      <c r="Y3" s="73"/>
    </row>
    <row r="4" spans="1:25" ht="23.4" thickBot="1" x14ac:dyDescent="0.35">
      <c r="A4" t="s">
        <v>13</v>
      </c>
      <c r="I4" s="10" t="s">
        <v>25</v>
      </c>
      <c r="J4" s="11" t="s">
        <v>26</v>
      </c>
      <c r="K4" s="11" t="s">
        <v>27</v>
      </c>
      <c r="L4" s="11" t="s">
        <v>28</v>
      </c>
      <c r="M4" s="11" t="s">
        <v>29</v>
      </c>
      <c r="N4" s="12">
        <v>-0.16020000000000001</v>
      </c>
      <c r="O4" s="12">
        <v>0.32400000000000001</v>
      </c>
      <c r="P4" s="35">
        <v>31.152353615777876</v>
      </c>
      <c r="R4" s="22" t="s">
        <v>25</v>
      </c>
      <c r="S4" s="23" t="s">
        <v>118</v>
      </c>
      <c r="T4" s="23" t="s">
        <v>119</v>
      </c>
      <c r="U4" s="23" t="s">
        <v>120</v>
      </c>
      <c r="V4" s="23" t="s">
        <v>121</v>
      </c>
      <c r="W4" s="24">
        <v>-0.12470000000000001</v>
      </c>
      <c r="X4" s="24">
        <v>0.29499999999999998</v>
      </c>
      <c r="Y4" s="32">
        <v>29.556519621420442</v>
      </c>
    </row>
    <row r="5" spans="1:25" ht="23.4" thickBot="1" x14ac:dyDescent="0.35">
      <c r="A5" s="1"/>
      <c r="B5" s="1"/>
      <c r="C5" s="1"/>
      <c r="D5" s="1"/>
      <c r="I5" s="10" t="s">
        <v>30</v>
      </c>
      <c r="J5" s="11" t="s">
        <v>31</v>
      </c>
      <c r="K5" s="11" t="s">
        <v>32</v>
      </c>
      <c r="L5" s="11" t="s">
        <v>33</v>
      </c>
      <c r="M5" s="11" t="s">
        <v>34</v>
      </c>
      <c r="N5" s="12">
        <v>-0.2581</v>
      </c>
      <c r="O5" s="12">
        <v>8.7800000000000003E-2</v>
      </c>
      <c r="P5" s="36" t="s">
        <v>196</v>
      </c>
      <c r="R5" s="22" t="s">
        <v>30</v>
      </c>
      <c r="S5" s="23" t="s">
        <v>122</v>
      </c>
      <c r="T5" s="23" t="s">
        <v>123</v>
      </c>
      <c r="U5" s="23" t="s">
        <v>124</v>
      </c>
      <c r="V5" s="23" t="s">
        <v>125</v>
      </c>
      <c r="W5" s="24">
        <v>-0.23319999999999999</v>
      </c>
      <c r="X5" s="24">
        <v>0.35149999999999998</v>
      </c>
      <c r="Y5" s="32"/>
    </row>
    <row r="6" spans="1:25" ht="24.6" thickBot="1" x14ac:dyDescent="0.35">
      <c r="A6" s="6">
        <v>40</v>
      </c>
      <c r="B6" s="1" t="s">
        <v>1</v>
      </c>
      <c r="C6" s="1" t="s">
        <v>6</v>
      </c>
      <c r="D6" s="1"/>
      <c r="I6" s="10" t="s">
        <v>35</v>
      </c>
      <c r="J6" s="11" t="s">
        <v>36</v>
      </c>
      <c r="K6" s="11" t="s">
        <v>37</v>
      </c>
      <c r="L6" s="11" t="s">
        <v>38</v>
      </c>
      <c r="M6" s="11" t="s">
        <v>39</v>
      </c>
      <c r="N6" s="12">
        <v>-0.12280000000000001</v>
      </c>
      <c r="O6" s="12">
        <v>0.31900000000000001</v>
      </c>
      <c r="P6" s="35">
        <v>29.82456140350877</v>
      </c>
      <c r="R6" s="25" t="s">
        <v>126</v>
      </c>
      <c r="S6" s="26" t="s">
        <v>127</v>
      </c>
      <c r="T6" s="26" t="s">
        <v>128</v>
      </c>
      <c r="U6" s="26" t="s">
        <v>129</v>
      </c>
      <c r="V6" s="26" t="s">
        <v>130</v>
      </c>
      <c r="W6" s="27">
        <v>-4.2700000000000002E-2</v>
      </c>
      <c r="X6" s="28">
        <v>0.41</v>
      </c>
      <c r="Y6" s="32"/>
    </row>
    <row r="7" spans="1:25" ht="23.4" thickBot="1" x14ac:dyDescent="0.35">
      <c r="A7" s="6">
        <v>60</v>
      </c>
      <c r="B7" s="1" t="s">
        <v>0</v>
      </c>
      <c r="C7" s="1" t="s">
        <v>7</v>
      </c>
      <c r="D7" s="2" t="s">
        <v>8</v>
      </c>
      <c r="I7" s="10" t="s">
        <v>40</v>
      </c>
      <c r="J7" s="11" t="s">
        <v>41</v>
      </c>
      <c r="K7" s="11" t="s">
        <v>42</v>
      </c>
      <c r="L7" s="11" t="s">
        <v>43</v>
      </c>
      <c r="M7" s="11" t="s">
        <v>44</v>
      </c>
      <c r="N7" s="12">
        <v>-0.1171</v>
      </c>
      <c r="O7" s="13">
        <v>0.18</v>
      </c>
      <c r="P7" s="35">
        <v>18.038128203708784</v>
      </c>
      <c r="R7" s="22" t="s">
        <v>131</v>
      </c>
      <c r="S7" s="23" t="s">
        <v>132</v>
      </c>
      <c r="T7" s="23" t="s">
        <v>133</v>
      </c>
      <c r="U7" s="23" t="s">
        <v>134</v>
      </c>
      <c r="V7" s="23" t="s">
        <v>135</v>
      </c>
      <c r="W7" s="24">
        <v>-0.17169999999999999</v>
      </c>
      <c r="X7" s="29">
        <v>0.28999999999999998</v>
      </c>
      <c r="Y7" s="32"/>
    </row>
    <row r="8" spans="1:25" ht="23.4" thickBot="1" x14ac:dyDescent="0.35">
      <c r="A8" s="6">
        <v>2</v>
      </c>
      <c r="B8" s="1" t="s">
        <v>2</v>
      </c>
      <c r="C8" s="1" t="s">
        <v>3</v>
      </c>
      <c r="D8" s="1"/>
      <c r="I8" s="10" t="s">
        <v>45</v>
      </c>
      <c r="J8" s="11" t="s">
        <v>46</v>
      </c>
      <c r="K8" s="11" t="s">
        <v>47</v>
      </c>
      <c r="L8" s="11" t="s">
        <v>48</v>
      </c>
      <c r="M8" s="11" t="s">
        <v>49</v>
      </c>
      <c r="N8" s="12">
        <v>-0.27460000000000001</v>
      </c>
      <c r="O8" s="12">
        <v>5.0200000000000002E-2</v>
      </c>
      <c r="P8" s="36" t="s">
        <v>196</v>
      </c>
      <c r="R8" s="22" t="s">
        <v>45</v>
      </c>
      <c r="S8" s="23" t="s">
        <v>136</v>
      </c>
      <c r="T8" s="23" t="s">
        <v>137</v>
      </c>
      <c r="U8" s="23" t="s">
        <v>138</v>
      </c>
      <c r="V8" s="23" t="s">
        <v>139</v>
      </c>
      <c r="W8" s="24">
        <v>-6.0499999999999998E-2</v>
      </c>
      <c r="X8" s="24">
        <v>0.59399999999999997</v>
      </c>
      <c r="Y8" s="32">
        <v>59.449406528189904</v>
      </c>
    </row>
    <row r="9" spans="1:25" ht="24.6" thickBot="1" x14ac:dyDescent="0.35">
      <c r="A9" s="1">
        <f>((A7/A6)^(1/A8))-1</f>
        <v>0.22474487139158894</v>
      </c>
      <c r="B9" s="1" t="s">
        <v>4</v>
      </c>
      <c r="C9" s="1" t="s">
        <v>5</v>
      </c>
      <c r="D9" s="3" t="s">
        <v>9</v>
      </c>
      <c r="I9" s="14" t="s">
        <v>50</v>
      </c>
      <c r="J9" s="15" t="s">
        <v>51</v>
      </c>
      <c r="K9" s="15" t="s">
        <v>52</v>
      </c>
      <c r="L9" s="15" t="s">
        <v>53</v>
      </c>
      <c r="M9" s="15" t="s">
        <v>54</v>
      </c>
      <c r="N9" s="16">
        <v>0</v>
      </c>
      <c r="O9" s="17">
        <v>0.32</v>
      </c>
      <c r="P9" s="35">
        <f t="shared" ref="P9" si="0">34*(1+$A$18)*(1+$A$18)</f>
        <v>29.98620976025979</v>
      </c>
      <c r="R9" s="22" t="s">
        <v>50</v>
      </c>
      <c r="S9" s="23" t="s">
        <v>140</v>
      </c>
      <c r="T9" s="23" t="s">
        <v>141</v>
      </c>
      <c r="U9" s="23" t="s">
        <v>142</v>
      </c>
      <c r="V9" s="23" t="s">
        <v>143</v>
      </c>
      <c r="W9" s="24">
        <v>-0.31850000000000001</v>
      </c>
      <c r="X9" s="24">
        <v>0.32200000000000001</v>
      </c>
      <c r="Y9" s="32"/>
    </row>
    <row r="10" spans="1:25" ht="24.6" thickBot="1" x14ac:dyDescent="0.35">
      <c r="A10" s="7">
        <f>+A9</f>
        <v>0.22474487139158894</v>
      </c>
      <c r="B10" s="1"/>
      <c r="C10" s="1" t="s">
        <v>16</v>
      </c>
      <c r="D10" s="1"/>
      <c r="I10" s="14" t="s">
        <v>55</v>
      </c>
      <c r="J10" s="15" t="s">
        <v>56</v>
      </c>
      <c r="K10" s="15" t="s">
        <v>57</v>
      </c>
      <c r="L10" s="15" t="s">
        <v>58</v>
      </c>
      <c r="M10" s="15" t="s">
        <v>59</v>
      </c>
      <c r="N10" s="16">
        <v>4.9700000000000001E-2</v>
      </c>
      <c r="O10" s="18" t="s">
        <v>60</v>
      </c>
      <c r="P10" s="20"/>
      <c r="R10" s="22" t="s">
        <v>55</v>
      </c>
      <c r="S10" s="23" t="s">
        <v>144</v>
      </c>
      <c r="T10" s="23" t="s">
        <v>145</v>
      </c>
      <c r="U10" s="23" t="s">
        <v>146</v>
      </c>
      <c r="V10" s="23" t="s">
        <v>147</v>
      </c>
      <c r="W10" s="24">
        <v>-0.4037</v>
      </c>
      <c r="X10" s="30"/>
      <c r="Y10" s="32"/>
    </row>
    <row r="11" spans="1:25" ht="24.6" thickBot="1" x14ac:dyDescent="0.35">
      <c r="A11" s="1"/>
      <c r="B11" s="1"/>
      <c r="C11" s="1"/>
      <c r="D11" s="1"/>
      <c r="I11" s="14" t="s">
        <v>61</v>
      </c>
      <c r="J11" s="15" t="s">
        <v>62</v>
      </c>
      <c r="K11" s="15" t="s">
        <v>63</v>
      </c>
      <c r="L11" s="15" t="s">
        <v>64</v>
      </c>
      <c r="M11" s="15" t="s">
        <v>65</v>
      </c>
      <c r="N11" s="16">
        <v>-5.4899999999999997E-2</v>
      </c>
      <c r="O11" s="18" t="s">
        <v>60</v>
      </c>
      <c r="P11" s="20"/>
      <c r="R11" s="25" t="s">
        <v>61</v>
      </c>
      <c r="S11" s="26" t="s">
        <v>148</v>
      </c>
      <c r="T11" s="26" t="s">
        <v>149</v>
      </c>
      <c r="U11" s="26" t="s">
        <v>150</v>
      </c>
      <c r="V11" s="26" t="s">
        <v>151</v>
      </c>
      <c r="W11" s="27">
        <v>-4.7100000000000003E-2</v>
      </c>
      <c r="X11" s="31"/>
      <c r="Y11" s="32"/>
    </row>
    <row r="12" spans="1:25" ht="24.6" thickBot="1" x14ac:dyDescent="0.35">
      <c r="A12" t="s">
        <v>14</v>
      </c>
      <c r="I12" s="10" t="s">
        <v>66</v>
      </c>
      <c r="J12" s="11" t="s">
        <v>67</v>
      </c>
      <c r="K12" s="11" t="s">
        <v>68</v>
      </c>
      <c r="L12" s="11" t="s">
        <v>69</v>
      </c>
      <c r="M12" s="11" t="s">
        <v>70</v>
      </c>
      <c r="N12" s="12">
        <v>-0.1943</v>
      </c>
      <c r="O12" s="13">
        <v>0.4</v>
      </c>
      <c r="P12" s="33" t="s">
        <v>196</v>
      </c>
      <c r="R12" s="25" t="s">
        <v>152</v>
      </c>
      <c r="S12" s="26" t="s">
        <v>153</v>
      </c>
      <c r="T12" s="26" t="s">
        <v>154</v>
      </c>
      <c r="U12" s="26" t="s">
        <v>155</v>
      </c>
      <c r="V12" s="26" t="s">
        <v>156</v>
      </c>
      <c r="W12" s="27">
        <v>-0.20419999999999999</v>
      </c>
      <c r="X12" s="28">
        <v>0.36</v>
      </c>
      <c r="Y12" s="32"/>
    </row>
    <row r="13" spans="1:25" ht="23.4" thickBot="1" x14ac:dyDescent="0.35">
      <c r="I13" s="10" t="s">
        <v>71</v>
      </c>
      <c r="J13" s="11" t="s">
        <v>72</v>
      </c>
      <c r="K13" s="11" t="s">
        <v>73</v>
      </c>
      <c r="L13" s="11" t="s">
        <v>74</v>
      </c>
      <c r="M13" s="11" t="s">
        <v>75</v>
      </c>
      <c r="N13" s="12">
        <v>-0.18290000000000001</v>
      </c>
      <c r="O13" s="12">
        <v>0.53300000000000003</v>
      </c>
      <c r="P13" s="20">
        <v>50.177285958768145</v>
      </c>
      <c r="R13" s="22" t="s">
        <v>157</v>
      </c>
      <c r="S13" s="23" t="s">
        <v>158</v>
      </c>
      <c r="T13" s="23" t="s">
        <v>159</v>
      </c>
      <c r="U13" s="23" t="s">
        <v>160</v>
      </c>
      <c r="V13" s="23" t="s">
        <v>161</v>
      </c>
      <c r="W13" s="24">
        <v>-0.14019999999999999</v>
      </c>
      <c r="X13" s="24">
        <v>0.39400000000000002</v>
      </c>
      <c r="Y13" s="32"/>
    </row>
    <row r="14" spans="1:25" ht="43.8" thickBot="1" x14ac:dyDescent="0.35">
      <c r="A14" s="6">
        <v>36.1</v>
      </c>
      <c r="B14" s="1" t="s">
        <v>1</v>
      </c>
      <c r="C14" s="1" t="s">
        <v>6</v>
      </c>
      <c r="D14" s="1"/>
      <c r="I14" s="14" t="s">
        <v>76</v>
      </c>
      <c r="J14" s="15" t="s">
        <v>77</v>
      </c>
      <c r="K14" s="15" t="s">
        <v>78</v>
      </c>
      <c r="L14" s="15" t="s">
        <v>79</v>
      </c>
      <c r="M14" s="15" t="s">
        <v>80</v>
      </c>
      <c r="N14" s="16">
        <v>7.2599999999999998E-2</v>
      </c>
      <c r="O14" s="17">
        <v>0.62</v>
      </c>
      <c r="P14" s="34" t="s">
        <v>197</v>
      </c>
      <c r="R14" s="25" t="s">
        <v>76</v>
      </c>
      <c r="S14" s="26" t="s">
        <v>162</v>
      </c>
      <c r="T14" s="26" t="s">
        <v>163</v>
      </c>
      <c r="U14" s="26" t="s">
        <v>164</v>
      </c>
      <c r="V14" s="26" t="s">
        <v>165</v>
      </c>
      <c r="W14" s="27">
        <v>3.8999999999999998E-3</v>
      </c>
      <c r="X14" s="28">
        <v>0.52</v>
      </c>
      <c r="Y14" s="32"/>
    </row>
    <row r="15" spans="1:25" ht="24.6" thickBot="1" x14ac:dyDescent="0.35">
      <c r="A15" s="6">
        <v>29.9</v>
      </c>
      <c r="B15" s="1" t="s">
        <v>0</v>
      </c>
      <c r="C15" s="1" t="s">
        <v>7</v>
      </c>
      <c r="D15" s="2" t="s">
        <v>10</v>
      </c>
      <c r="I15" s="10" t="s">
        <v>81</v>
      </c>
      <c r="J15" s="11" t="s">
        <v>82</v>
      </c>
      <c r="K15" s="11" t="s">
        <v>83</v>
      </c>
      <c r="L15" s="11" t="s">
        <v>84</v>
      </c>
      <c r="M15" s="11" t="s">
        <v>85</v>
      </c>
      <c r="N15" s="12">
        <v>-0.3569</v>
      </c>
      <c r="O15" s="12">
        <v>0.23499999999999999</v>
      </c>
      <c r="P15" s="33" t="s">
        <v>196</v>
      </c>
      <c r="R15" s="25" t="s">
        <v>166</v>
      </c>
      <c r="S15" s="26" t="s">
        <v>167</v>
      </c>
      <c r="T15" s="26" t="s">
        <v>168</v>
      </c>
      <c r="U15" s="26" t="s">
        <v>169</v>
      </c>
      <c r="V15" s="26" t="s">
        <v>170</v>
      </c>
      <c r="W15" s="27">
        <v>3.9800000000000002E-2</v>
      </c>
      <c r="X15" s="28">
        <v>0.35</v>
      </c>
      <c r="Y15" s="21">
        <v>38.330577537776826</v>
      </c>
    </row>
    <row r="16" spans="1:25" ht="23.4" thickBot="1" x14ac:dyDescent="0.35">
      <c r="A16" s="6">
        <v>3</v>
      </c>
      <c r="B16" s="1" t="s">
        <v>2</v>
      </c>
      <c r="C16" s="1" t="s">
        <v>3</v>
      </c>
      <c r="D16" s="1"/>
      <c r="I16" s="10" t="s">
        <v>86</v>
      </c>
      <c r="J16" s="11" t="s">
        <v>87</v>
      </c>
      <c r="K16" s="11" t="s">
        <v>88</v>
      </c>
      <c r="L16" s="11" t="s">
        <v>89</v>
      </c>
      <c r="M16" s="11" t="s">
        <v>90</v>
      </c>
      <c r="N16" s="12">
        <v>-7.46E-2</v>
      </c>
      <c r="O16" s="12">
        <v>0.53600000000000003</v>
      </c>
      <c r="P16" s="21">
        <v>58.875726707122844</v>
      </c>
      <c r="R16" s="22" t="s">
        <v>86</v>
      </c>
      <c r="S16" s="23" t="s">
        <v>171</v>
      </c>
      <c r="T16" s="23" t="s">
        <v>172</v>
      </c>
      <c r="U16" s="23" t="s">
        <v>173</v>
      </c>
      <c r="V16" s="23" t="s">
        <v>174</v>
      </c>
      <c r="W16" s="24">
        <v>-0.14249999999999999</v>
      </c>
      <c r="X16" s="29">
        <v>0.38</v>
      </c>
      <c r="Y16" s="32"/>
    </row>
    <row r="17" spans="1:25" ht="43.8" thickBot="1" x14ac:dyDescent="0.35">
      <c r="A17" s="1">
        <f>(1-((A15/A14)^(1/A16)))*(-1)</f>
        <v>-6.0879482765926474E-2</v>
      </c>
      <c r="B17" s="1" t="s">
        <v>4</v>
      </c>
      <c r="C17" s="1" t="s">
        <v>5</v>
      </c>
      <c r="D17" s="3" t="s">
        <v>11</v>
      </c>
      <c r="I17" s="14" t="s">
        <v>91</v>
      </c>
      <c r="J17" s="15" t="s">
        <v>92</v>
      </c>
      <c r="K17" s="15" t="s">
        <v>93</v>
      </c>
      <c r="L17" s="15" t="s">
        <v>94</v>
      </c>
      <c r="M17" s="15" t="s">
        <v>95</v>
      </c>
      <c r="N17" s="16">
        <v>0.18079999999999999</v>
      </c>
      <c r="O17" s="19"/>
      <c r="P17" s="34" t="s">
        <v>197</v>
      </c>
      <c r="R17" s="25" t="s">
        <v>91</v>
      </c>
      <c r="S17" s="26" t="s">
        <v>175</v>
      </c>
      <c r="T17" s="26" t="s">
        <v>176</v>
      </c>
      <c r="U17" s="26" t="s">
        <v>177</v>
      </c>
      <c r="V17" s="26" t="s">
        <v>178</v>
      </c>
      <c r="W17" s="27">
        <v>0.1169</v>
      </c>
      <c r="X17" s="30"/>
      <c r="Y17" s="32"/>
    </row>
    <row r="18" spans="1:25" ht="43.8" thickBot="1" x14ac:dyDescent="0.35">
      <c r="A18" s="7">
        <f>+A17</f>
        <v>-6.0879482765926474E-2</v>
      </c>
      <c r="B18" s="1"/>
      <c r="C18" s="1" t="s">
        <v>16</v>
      </c>
      <c r="D18" s="1"/>
      <c r="I18" s="14" t="s">
        <v>96</v>
      </c>
      <c r="J18" s="15" t="s">
        <v>97</v>
      </c>
      <c r="K18" s="15" t="s">
        <v>98</v>
      </c>
      <c r="L18" s="15" t="s">
        <v>99</v>
      </c>
      <c r="M18" s="15" t="s">
        <v>100</v>
      </c>
      <c r="N18" s="16">
        <v>0.18179999999999999</v>
      </c>
      <c r="O18" s="17">
        <v>7.0000000000000007E-2</v>
      </c>
      <c r="P18" s="34" t="s">
        <v>197</v>
      </c>
      <c r="R18" s="25" t="s">
        <v>96</v>
      </c>
      <c r="S18" s="26" t="s">
        <v>179</v>
      </c>
      <c r="T18" s="26" t="s">
        <v>180</v>
      </c>
      <c r="U18" s="26" t="s">
        <v>181</v>
      </c>
      <c r="V18" s="26" t="s">
        <v>182</v>
      </c>
      <c r="W18" s="27">
        <v>-4.5600000000000002E-2</v>
      </c>
      <c r="X18" s="27">
        <v>0.246</v>
      </c>
      <c r="Y18" s="32"/>
    </row>
    <row r="19" spans="1:25" ht="24.6" thickBot="1" x14ac:dyDescent="0.35">
      <c r="I19" s="10" t="s">
        <v>101</v>
      </c>
      <c r="J19" s="11" t="s">
        <v>102</v>
      </c>
      <c r="K19" s="11" t="s">
        <v>103</v>
      </c>
      <c r="L19" s="11" t="s">
        <v>104</v>
      </c>
      <c r="M19" s="11" t="s">
        <v>105</v>
      </c>
      <c r="N19" s="12">
        <v>-0.2419</v>
      </c>
      <c r="O19" s="12">
        <v>0.29799999999999999</v>
      </c>
      <c r="P19" s="33" t="s">
        <v>196</v>
      </c>
      <c r="R19" s="25" t="s">
        <v>183</v>
      </c>
      <c r="S19" s="26" t="s">
        <v>184</v>
      </c>
      <c r="T19" s="26" t="s">
        <v>185</v>
      </c>
      <c r="U19" s="26" t="s">
        <v>186</v>
      </c>
      <c r="V19" s="26" t="s">
        <v>187</v>
      </c>
      <c r="W19" s="27">
        <v>8.6499999999999994E-2</v>
      </c>
      <c r="X19" s="27">
        <v>0.38600000000000001</v>
      </c>
      <c r="Y19" s="32"/>
    </row>
    <row r="20" spans="1:25" ht="24.6" thickBot="1" x14ac:dyDescent="0.35">
      <c r="A20">
        <f>A15*(1+A17)^2</f>
        <v>26.370225642110814</v>
      </c>
      <c r="I20" s="14" t="s">
        <v>106</v>
      </c>
      <c r="J20" s="15" t="s">
        <v>107</v>
      </c>
      <c r="K20" s="15" t="s">
        <v>108</v>
      </c>
      <c r="L20" s="15" t="s">
        <v>109</v>
      </c>
      <c r="M20" s="15" t="s">
        <v>110</v>
      </c>
      <c r="N20" s="16">
        <v>-2.4299999999999999E-2</v>
      </c>
      <c r="O20" s="16">
        <v>0.2465</v>
      </c>
      <c r="P20" s="21">
        <v>27.701031536194659</v>
      </c>
      <c r="R20" s="25" t="s">
        <v>106</v>
      </c>
      <c r="S20" s="26" t="s">
        <v>188</v>
      </c>
      <c r="T20" s="26" t="s">
        <v>189</v>
      </c>
      <c r="U20" s="26" t="s">
        <v>190</v>
      </c>
      <c r="V20" s="26" t="s">
        <v>191</v>
      </c>
      <c r="W20" s="27">
        <v>-0.1152</v>
      </c>
      <c r="X20" s="27">
        <v>0.26400000000000001</v>
      </c>
      <c r="Y20" s="32"/>
    </row>
    <row r="21" spans="1:25" ht="24.6" thickBot="1" x14ac:dyDescent="0.35">
      <c r="I21" s="10" t="s">
        <v>111</v>
      </c>
      <c r="J21" s="11" t="s">
        <v>112</v>
      </c>
      <c r="K21" s="11" t="s">
        <v>113</v>
      </c>
      <c r="L21" s="11" t="s">
        <v>114</v>
      </c>
      <c r="M21" s="11" t="s">
        <v>115</v>
      </c>
      <c r="N21" s="12">
        <v>-8.0699999999999994E-2</v>
      </c>
      <c r="O21" s="15" t="s">
        <v>116</v>
      </c>
      <c r="P21" s="21">
        <v>78.223070865747005</v>
      </c>
      <c r="R21" s="25" t="s">
        <v>111</v>
      </c>
      <c r="S21" s="26" t="s">
        <v>192</v>
      </c>
      <c r="T21" s="26" t="s">
        <v>193</v>
      </c>
      <c r="U21" s="26" t="s">
        <v>194</v>
      </c>
      <c r="V21" s="26" t="s">
        <v>195</v>
      </c>
      <c r="W21" s="27">
        <v>-0.156</v>
      </c>
      <c r="X21" s="30">
        <f>0.384*0.8</f>
        <v>0.30720000000000003</v>
      </c>
      <c r="Y21" s="32">
        <v>23.920744385378743</v>
      </c>
    </row>
  </sheetData>
  <mergeCells count="15">
    <mergeCell ref="U2:U3"/>
    <mergeCell ref="W2:W3"/>
    <mergeCell ref="X2:X3"/>
    <mergeCell ref="Y2:Y3"/>
    <mergeCell ref="P1:T1"/>
    <mergeCell ref="I2:I3"/>
    <mergeCell ref="J2:J3"/>
    <mergeCell ref="K2:K3"/>
    <mergeCell ref="L2:L3"/>
    <mergeCell ref="N2:N3"/>
    <mergeCell ref="O2:O3"/>
    <mergeCell ref="P2:P3"/>
    <mergeCell ref="R2:R3"/>
    <mergeCell ref="S2:S3"/>
    <mergeCell ref="T2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sqref="A1:S13"/>
    </sheetView>
  </sheetViews>
  <sheetFormatPr defaultRowHeight="14.4" x14ac:dyDescent="0.3"/>
  <cols>
    <col min="1" max="1" width="13.44140625" customWidth="1"/>
    <col min="5" max="5" width="11.88671875" customWidth="1"/>
    <col min="6" max="7" width="10.109375" customWidth="1"/>
    <col min="9" max="9" width="13.6640625" customWidth="1"/>
    <col min="10" max="10" width="10.5546875" customWidth="1"/>
    <col min="11" max="11" width="11.88671875" customWidth="1"/>
    <col min="17" max="17" width="10.109375" customWidth="1"/>
    <col min="19" max="19" width="42.109375" customWidth="1"/>
  </cols>
  <sheetData>
    <row r="1" spans="1:20" ht="15.75" thickBot="1" x14ac:dyDescent="0.3">
      <c r="B1" s="76" t="s">
        <v>201</v>
      </c>
      <c r="C1" s="76"/>
      <c r="D1" s="76"/>
      <c r="E1" s="76"/>
      <c r="F1" s="76"/>
      <c r="G1" s="76"/>
      <c r="L1" s="76" t="s">
        <v>202</v>
      </c>
      <c r="M1" s="76"/>
      <c r="N1" s="76"/>
      <c r="O1" s="76"/>
      <c r="P1" s="76"/>
      <c r="Q1" s="76"/>
    </row>
    <row r="2" spans="1:20" x14ac:dyDescent="0.3">
      <c r="A2" s="71" t="s">
        <v>17</v>
      </c>
      <c r="B2" s="71" t="s">
        <v>18</v>
      </c>
      <c r="C2" s="71" t="s">
        <v>19</v>
      </c>
      <c r="D2" s="71" t="s">
        <v>20</v>
      </c>
      <c r="E2" s="8" t="s">
        <v>21</v>
      </c>
      <c r="F2" s="71" t="s">
        <v>199</v>
      </c>
      <c r="G2" s="71" t="s">
        <v>200</v>
      </c>
      <c r="H2" s="71" t="s">
        <v>24</v>
      </c>
      <c r="I2" s="71" t="s">
        <v>204</v>
      </c>
      <c r="J2" s="62"/>
      <c r="K2" s="71" t="s">
        <v>17</v>
      </c>
      <c r="L2" s="71" t="s">
        <v>18</v>
      </c>
      <c r="M2" s="71" t="s">
        <v>19</v>
      </c>
      <c r="N2" s="71" t="s">
        <v>20</v>
      </c>
      <c r="O2" s="8" t="s">
        <v>21</v>
      </c>
      <c r="P2" s="71" t="s">
        <v>23</v>
      </c>
      <c r="Q2" s="71" t="s">
        <v>200</v>
      </c>
      <c r="R2" s="71" t="s">
        <v>24</v>
      </c>
      <c r="S2" s="71" t="s">
        <v>204</v>
      </c>
    </row>
    <row r="3" spans="1:20" ht="22.8" x14ac:dyDescent="0.3">
      <c r="A3" s="75"/>
      <c r="B3" s="75"/>
      <c r="C3" s="75"/>
      <c r="D3" s="75"/>
      <c r="E3" s="53" t="s">
        <v>22</v>
      </c>
      <c r="F3" s="75"/>
      <c r="G3" s="75"/>
      <c r="H3" s="75"/>
      <c r="I3" s="75"/>
      <c r="J3" s="62"/>
      <c r="K3" s="75"/>
      <c r="L3" s="75"/>
      <c r="M3" s="75"/>
      <c r="N3" s="75"/>
      <c r="O3" s="53" t="s">
        <v>22</v>
      </c>
      <c r="P3" s="75"/>
      <c r="Q3" s="75"/>
      <c r="R3" s="75"/>
      <c r="S3" s="75"/>
    </row>
    <row r="4" spans="1:20" ht="24" x14ac:dyDescent="0.25">
      <c r="A4" s="55" t="s">
        <v>50</v>
      </c>
      <c r="B4" s="56" t="s">
        <v>51</v>
      </c>
      <c r="C4" s="60" t="s">
        <v>52</v>
      </c>
      <c r="D4" s="54" t="s">
        <v>53</v>
      </c>
      <c r="E4" s="60" t="s">
        <v>54</v>
      </c>
      <c r="F4" s="57">
        <v>0</v>
      </c>
      <c r="G4" s="61">
        <v>0</v>
      </c>
      <c r="H4" s="58">
        <v>0.32</v>
      </c>
      <c r="I4" s="63" t="s">
        <v>205</v>
      </c>
      <c r="J4" s="47"/>
      <c r="K4" s="55" t="s">
        <v>126</v>
      </c>
      <c r="L4" s="54" t="s">
        <v>127</v>
      </c>
      <c r="M4" s="60" t="s">
        <v>128</v>
      </c>
      <c r="N4" s="54" t="s">
        <v>129</v>
      </c>
      <c r="O4" s="60" t="s">
        <v>130</v>
      </c>
      <c r="P4" s="57">
        <v>-4.2700000000000002E-2</v>
      </c>
      <c r="Q4" s="61">
        <f>47.1-49.2</f>
        <v>-2.1000000000000014</v>
      </c>
      <c r="R4" s="58">
        <v>0.41</v>
      </c>
      <c r="S4" s="63" t="s">
        <v>205</v>
      </c>
    </row>
    <row r="5" spans="1:20" ht="24" x14ac:dyDescent="0.25">
      <c r="A5" s="55" t="s">
        <v>55</v>
      </c>
      <c r="B5" s="56" t="s">
        <v>56</v>
      </c>
      <c r="C5" s="60" t="s">
        <v>57</v>
      </c>
      <c r="D5" s="54" t="s">
        <v>58</v>
      </c>
      <c r="E5" s="60" t="s">
        <v>59</v>
      </c>
      <c r="F5" s="57">
        <v>4.9700000000000001E-2</v>
      </c>
      <c r="G5" s="61">
        <f>46.9-44.7</f>
        <v>2.1999999999999957</v>
      </c>
      <c r="H5" s="59" t="s">
        <v>60</v>
      </c>
      <c r="I5" s="64" t="s">
        <v>206</v>
      </c>
      <c r="J5" s="48"/>
      <c r="K5" s="55" t="s">
        <v>61</v>
      </c>
      <c r="L5" s="54" t="s">
        <v>148</v>
      </c>
      <c r="M5" s="60" t="s">
        <v>149</v>
      </c>
      <c r="N5" s="54" t="s">
        <v>150</v>
      </c>
      <c r="O5" s="60" t="s">
        <v>151</v>
      </c>
      <c r="P5" s="57">
        <v>-4.7100000000000003E-2</v>
      </c>
      <c r="Q5" s="61">
        <f>26.3-27.6</f>
        <v>-1.3000000000000007</v>
      </c>
      <c r="R5" s="59" t="s">
        <v>60</v>
      </c>
      <c r="S5" s="64" t="s">
        <v>206</v>
      </c>
    </row>
    <row r="6" spans="1:20" ht="24" x14ac:dyDescent="0.25">
      <c r="A6" s="55" t="s">
        <v>61</v>
      </c>
      <c r="B6" s="56" t="s">
        <v>62</v>
      </c>
      <c r="C6" s="60" t="s">
        <v>63</v>
      </c>
      <c r="D6" s="54" t="s">
        <v>64</v>
      </c>
      <c r="E6" s="60" t="s">
        <v>65</v>
      </c>
      <c r="F6" s="57">
        <v>-5.4899999999999997E-2</v>
      </c>
      <c r="G6" s="61">
        <f>58.5-61.9</f>
        <v>-3.3999999999999986</v>
      </c>
      <c r="H6" s="59" t="s">
        <v>60</v>
      </c>
      <c r="I6" s="63" t="s">
        <v>206</v>
      </c>
      <c r="J6" s="47"/>
      <c r="K6" s="55" t="s">
        <v>208</v>
      </c>
      <c r="L6" s="54" t="s">
        <v>153</v>
      </c>
      <c r="M6" s="66" t="s">
        <v>60</v>
      </c>
      <c r="N6" s="54" t="s">
        <v>155</v>
      </c>
      <c r="O6" s="60" t="s">
        <v>156</v>
      </c>
      <c r="P6" s="57">
        <v>-0.20419999999999999</v>
      </c>
      <c r="Q6" s="61">
        <f>34.3-43.1</f>
        <v>-8.8000000000000043</v>
      </c>
      <c r="R6" s="58">
        <v>0.36</v>
      </c>
      <c r="S6" s="63" t="s">
        <v>210</v>
      </c>
    </row>
    <row r="7" spans="1:20" ht="43.2" x14ac:dyDescent="0.3">
      <c r="A7" s="55" t="s">
        <v>76</v>
      </c>
      <c r="B7" s="56" t="s">
        <v>77</v>
      </c>
      <c r="C7" s="60" t="s">
        <v>78</v>
      </c>
      <c r="D7" s="54" t="s">
        <v>79</v>
      </c>
      <c r="E7" s="60" t="s">
        <v>80</v>
      </c>
      <c r="F7" s="57">
        <v>7.2599999999999998E-2</v>
      </c>
      <c r="G7" s="61">
        <f>66.5-62</f>
        <v>4.5</v>
      </c>
      <c r="H7" s="58">
        <v>0.62</v>
      </c>
      <c r="I7" s="63" t="s">
        <v>205</v>
      </c>
      <c r="J7" s="47"/>
      <c r="K7" s="55" t="s">
        <v>76</v>
      </c>
      <c r="L7" s="54" t="s">
        <v>162</v>
      </c>
      <c r="M7" s="60" t="s">
        <v>163</v>
      </c>
      <c r="N7" s="54" t="s">
        <v>164</v>
      </c>
      <c r="O7" s="60" t="s">
        <v>165</v>
      </c>
      <c r="P7" s="57">
        <v>3.8999999999999998E-3</v>
      </c>
      <c r="Q7" s="61">
        <f>51.8-51.6</f>
        <v>0.19999999999999574</v>
      </c>
      <c r="R7" s="58">
        <v>0.52</v>
      </c>
      <c r="S7" s="68" t="s">
        <v>212</v>
      </c>
    </row>
    <row r="8" spans="1:20" ht="24" x14ac:dyDescent="0.25">
      <c r="A8" s="55" t="s">
        <v>91</v>
      </c>
      <c r="B8" s="56" t="s">
        <v>92</v>
      </c>
      <c r="C8" s="60" t="s">
        <v>93</v>
      </c>
      <c r="D8" s="54" t="s">
        <v>94</v>
      </c>
      <c r="E8" s="60" t="s">
        <v>95</v>
      </c>
      <c r="F8" s="57">
        <v>0.18079999999999999</v>
      </c>
      <c r="G8" s="61">
        <f>40.5-34.3</f>
        <v>6.2000000000000028</v>
      </c>
      <c r="H8" s="59" t="s">
        <v>60</v>
      </c>
      <c r="I8" s="63" t="s">
        <v>207</v>
      </c>
      <c r="J8" s="47"/>
      <c r="K8" s="55" t="s">
        <v>166</v>
      </c>
      <c r="L8" s="54" t="s">
        <v>167</v>
      </c>
      <c r="M8" s="60" t="s">
        <v>168</v>
      </c>
      <c r="N8" s="54" t="s">
        <v>169</v>
      </c>
      <c r="O8" s="60" t="s">
        <v>170</v>
      </c>
      <c r="P8" s="57">
        <v>3.9800000000000002E-2</v>
      </c>
      <c r="Q8" s="61">
        <f>47-45.2</f>
        <v>1.7999999999999972</v>
      </c>
      <c r="R8" s="58">
        <v>0.35</v>
      </c>
      <c r="S8" s="63" t="s">
        <v>205</v>
      </c>
      <c r="T8" t="s">
        <v>203</v>
      </c>
    </row>
    <row r="9" spans="1:20" ht="24" x14ac:dyDescent="0.25">
      <c r="A9" s="55" t="s">
        <v>96</v>
      </c>
      <c r="B9" s="56" t="s">
        <v>97</v>
      </c>
      <c r="C9" s="60" t="s">
        <v>98</v>
      </c>
      <c r="D9" s="54" t="s">
        <v>99</v>
      </c>
      <c r="E9" s="60" t="s">
        <v>100</v>
      </c>
      <c r="F9" s="57">
        <v>0.18179999999999999</v>
      </c>
      <c r="G9" s="61">
        <f>10.4-8.8</f>
        <v>1.5999999999999996</v>
      </c>
      <c r="H9" s="58">
        <v>7.0000000000000007E-2</v>
      </c>
      <c r="I9" s="63" t="s">
        <v>205</v>
      </c>
      <c r="J9" s="49"/>
      <c r="K9" s="55" t="s">
        <v>91</v>
      </c>
      <c r="L9" s="54" t="s">
        <v>175</v>
      </c>
      <c r="M9" s="60" t="s">
        <v>176</v>
      </c>
      <c r="N9" s="54" t="s">
        <v>177</v>
      </c>
      <c r="O9" s="60" t="s">
        <v>178</v>
      </c>
      <c r="P9" s="57">
        <v>0.1169</v>
      </c>
      <c r="Q9" s="61">
        <f>25.8-23.1</f>
        <v>2.6999999999999993</v>
      </c>
      <c r="R9" s="59" t="s">
        <v>60</v>
      </c>
      <c r="S9" s="63" t="s">
        <v>207</v>
      </c>
    </row>
    <row r="10" spans="1:20" ht="24" x14ac:dyDescent="0.25">
      <c r="A10" s="55" t="s">
        <v>106</v>
      </c>
      <c r="B10" s="56" t="s">
        <v>107</v>
      </c>
      <c r="C10" s="60" t="s">
        <v>108</v>
      </c>
      <c r="D10" s="54" t="s">
        <v>109</v>
      </c>
      <c r="E10" s="60" t="s">
        <v>110</v>
      </c>
      <c r="F10" s="57">
        <v>-2.4299999999999999E-2</v>
      </c>
      <c r="G10" s="61">
        <f>32.1-32.9</f>
        <v>-0.79999999999999716</v>
      </c>
      <c r="H10" s="58">
        <v>0.2465</v>
      </c>
      <c r="I10" s="63" t="s">
        <v>205</v>
      </c>
      <c r="J10" s="49"/>
      <c r="K10" s="55" t="s">
        <v>96</v>
      </c>
      <c r="L10" s="54" t="s">
        <v>179</v>
      </c>
      <c r="M10" s="60" t="s">
        <v>180</v>
      </c>
      <c r="N10" s="54" t="s">
        <v>181</v>
      </c>
      <c r="O10" s="60" t="s">
        <v>182</v>
      </c>
      <c r="P10" s="57">
        <v>-4.5600000000000002E-2</v>
      </c>
      <c r="Q10" s="61">
        <f>29.3-30.7</f>
        <v>-1.3999999999999986</v>
      </c>
      <c r="R10" s="58">
        <v>0.246</v>
      </c>
      <c r="S10" s="63" t="s">
        <v>205</v>
      </c>
    </row>
    <row r="11" spans="1:20" ht="24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55" t="s">
        <v>183</v>
      </c>
      <c r="L11" s="54" t="s">
        <v>211</v>
      </c>
      <c r="M11" s="60" t="s">
        <v>185</v>
      </c>
      <c r="N11" s="54" t="s">
        <v>60</v>
      </c>
      <c r="O11" s="60"/>
      <c r="P11" s="57">
        <v>8.6499999999999994E-2</v>
      </c>
      <c r="Q11" s="61">
        <f>37.7-34.7</f>
        <v>3</v>
      </c>
      <c r="R11" s="58">
        <v>0.38400000000000001</v>
      </c>
      <c r="S11" s="63" t="s">
        <v>206</v>
      </c>
    </row>
    <row r="12" spans="1:20" ht="24" x14ac:dyDescent="0.25">
      <c r="A12" s="50"/>
      <c r="B12" s="50"/>
      <c r="C12" s="50"/>
      <c r="D12" s="50"/>
      <c r="E12" s="50"/>
      <c r="F12" s="50"/>
      <c r="G12" s="50"/>
      <c r="H12" s="50"/>
      <c r="I12" s="51"/>
      <c r="J12" s="51"/>
      <c r="K12" s="55" t="s">
        <v>106</v>
      </c>
      <c r="L12" s="54" t="s">
        <v>188</v>
      </c>
      <c r="M12" s="60" t="s">
        <v>189</v>
      </c>
      <c r="N12" s="54" t="s">
        <v>190</v>
      </c>
      <c r="O12" s="60" t="s">
        <v>191</v>
      </c>
      <c r="P12" s="57">
        <v>-0.1152</v>
      </c>
      <c r="Q12" s="61">
        <f>29.2-33</f>
        <v>-3.8000000000000007</v>
      </c>
      <c r="R12" s="58">
        <v>0.26400000000000001</v>
      </c>
      <c r="S12" s="63" t="s">
        <v>213</v>
      </c>
    </row>
    <row r="13" spans="1:20" ht="24" x14ac:dyDescent="0.3">
      <c r="A13" s="39"/>
      <c r="B13" s="39"/>
      <c r="C13" s="39"/>
      <c r="D13" s="39"/>
      <c r="E13" s="39"/>
      <c r="F13" s="40"/>
      <c r="G13" s="40"/>
      <c r="H13" s="40"/>
      <c r="I13" s="52"/>
      <c r="J13" s="52"/>
      <c r="K13" s="55" t="s">
        <v>111</v>
      </c>
      <c r="L13" s="54" t="s">
        <v>192</v>
      </c>
      <c r="M13" s="60" t="s">
        <v>193</v>
      </c>
      <c r="N13" s="54" t="s">
        <v>194</v>
      </c>
      <c r="O13" s="60" t="s">
        <v>195</v>
      </c>
      <c r="P13" s="57">
        <v>-0.156</v>
      </c>
      <c r="Q13" s="61">
        <f>38.4-45.5</f>
        <v>-7.1000000000000014</v>
      </c>
      <c r="R13" s="65">
        <f>0.455*0.8</f>
        <v>0.36400000000000005</v>
      </c>
      <c r="S13" s="63" t="s">
        <v>209</v>
      </c>
    </row>
    <row r="14" spans="1:20" x14ac:dyDescent="0.3">
      <c r="A14" s="37"/>
      <c r="B14" s="37"/>
      <c r="C14" s="37"/>
      <c r="D14" s="37"/>
      <c r="E14" s="37"/>
      <c r="F14" s="37"/>
      <c r="G14" s="37"/>
      <c r="H14" s="37"/>
      <c r="I14" s="41"/>
      <c r="J14" s="41"/>
      <c r="Q14" s="37"/>
      <c r="S14" s="32"/>
    </row>
    <row r="15" spans="1:20" x14ac:dyDescent="0.3">
      <c r="A15" t="s">
        <v>14</v>
      </c>
      <c r="H15" s="40"/>
      <c r="I15" s="38"/>
      <c r="J15" s="38"/>
      <c r="K15" s="37"/>
      <c r="L15" s="37"/>
      <c r="M15" s="37"/>
      <c r="N15" s="37"/>
      <c r="O15" s="37"/>
      <c r="P15" s="37"/>
      <c r="Q15" s="40"/>
      <c r="R15" s="37"/>
      <c r="S15" s="42"/>
      <c r="T15" s="37"/>
    </row>
    <row r="16" spans="1:20" x14ac:dyDescent="0.3">
      <c r="H16" s="40"/>
      <c r="I16" s="42"/>
      <c r="J16" s="42"/>
      <c r="K16" s="39"/>
      <c r="L16" s="39"/>
      <c r="M16" s="39"/>
      <c r="N16" s="39"/>
      <c r="O16" s="39"/>
      <c r="P16" s="40"/>
      <c r="Q16" s="40"/>
      <c r="R16" s="44"/>
      <c r="S16" s="45"/>
      <c r="T16" s="37"/>
    </row>
    <row r="17" spans="1:20" x14ac:dyDescent="0.3">
      <c r="A17" s="6">
        <v>0.45500000000000002</v>
      </c>
      <c r="B17" s="1" t="s">
        <v>1</v>
      </c>
      <c r="C17" s="1" t="s">
        <v>6</v>
      </c>
      <c r="D17" s="1"/>
      <c r="H17" s="37"/>
      <c r="I17" s="41"/>
      <c r="J17" s="41"/>
      <c r="K17" s="37"/>
      <c r="L17" s="37"/>
      <c r="M17" s="37"/>
      <c r="N17" s="37"/>
      <c r="O17" s="37"/>
      <c r="P17" s="37"/>
      <c r="Q17" s="37"/>
      <c r="R17" s="37"/>
      <c r="S17" s="45"/>
      <c r="T17" s="37"/>
    </row>
    <row r="18" spans="1:20" ht="18" x14ac:dyDescent="0.3">
      <c r="A18" s="6">
        <v>0.38400000000000001</v>
      </c>
      <c r="B18" s="1" t="s">
        <v>0</v>
      </c>
      <c r="C18" s="1" t="s">
        <v>7</v>
      </c>
      <c r="D18" s="2" t="s">
        <v>10</v>
      </c>
      <c r="H18" s="37"/>
      <c r="I18" s="41"/>
      <c r="J18" s="41"/>
      <c r="K18" s="37"/>
      <c r="L18" s="37"/>
      <c r="M18" s="37"/>
      <c r="N18" s="37"/>
      <c r="O18" s="37"/>
      <c r="P18" s="37"/>
      <c r="Q18" s="37"/>
      <c r="R18" s="37"/>
      <c r="S18" s="45"/>
      <c r="T18" s="37"/>
    </row>
    <row r="19" spans="1:20" x14ac:dyDescent="0.3">
      <c r="A19" s="6">
        <v>3</v>
      </c>
      <c r="B19" s="1" t="s">
        <v>2</v>
      </c>
      <c r="C19" s="1" t="s">
        <v>3</v>
      </c>
      <c r="D19" s="1"/>
      <c r="H19" s="40"/>
      <c r="I19" s="38"/>
      <c r="J19" s="38"/>
      <c r="K19" s="37"/>
      <c r="L19" s="37"/>
      <c r="M19" s="37"/>
      <c r="N19" s="37"/>
      <c r="O19" s="37"/>
      <c r="P19" s="37"/>
      <c r="Q19" s="40"/>
      <c r="R19" s="37"/>
      <c r="S19" s="45"/>
      <c r="T19" s="37"/>
    </row>
    <row r="20" spans="1:20" ht="16.2" x14ac:dyDescent="0.3">
      <c r="A20" s="1">
        <f>(1-((A18/A17)^(1/A19)))*(-1)</f>
        <v>-5.4982300582133825E-2</v>
      </c>
      <c r="B20" s="1" t="s">
        <v>4</v>
      </c>
      <c r="C20" s="1" t="s">
        <v>5</v>
      </c>
      <c r="D20" s="3" t="s">
        <v>11</v>
      </c>
      <c r="H20" s="37"/>
      <c r="I20" s="42"/>
      <c r="J20" s="42"/>
      <c r="K20" s="37"/>
      <c r="L20" s="37"/>
      <c r="M20" s="37"/>
      <c r="N20" s="37"/>
      <c r="O20" s="37"/>
      <c r="P20" s="37"/>
      <c r="Q20" s="37"/>
      <c r="R20" s="37"/>
      <c r="S20" s="45"/>
      <c r="T20" s="37"/>
    </row>
    <row r="21" spans="1:20" x14ac:dyDescent="0.3">
      <c r="A21" s="7">
        <f>+A20</f>
        <v>-5.4982300582133825E-2</v>
      </c>
      <c r="B21" s="1"/>
      <c r="C21" s="1" t="s">
        <v>16</v>
      </c>
      <c r="D21" s="1"/>
      <c r="H21" s="43"/>
      <c r="I21" s="42"/>
      <c r="J21" s="42"/>
      <c r="K21" s="37"/>
      <c r="L21" s="37"/>
      <c r="M21" s="37"/>
      <c r="N21" s="37"/>
      <c r="O21" s="37"/>
      <c r="P21" s="37"/>
      <c r="Q21" s="40"/>
      <c r="R21" s="37"/>
      <c r="S21" s="45"/>
      <c r="T21" s="37"/>
    </row>
    <row r="22" spans="1:20" x14ac:dyDescent="0.3"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x14ac:dyDescent="0.3">
      <c r="A23" s="67">
        <f>A18*(1+A20)^2</f>
        <v>0.34293444564980602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spans="1:20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Q24" s="37"/>
    </row>
  </sheetData>
  <mergeCells count="18">
    <mergeCell ref="A2:A3"/>
    <mergeCell ref="B2:B3"/>
    <mergeCell ref="C2:C3"/>
    <mergeCell ref="D2:D3"/>
    <mergeCell ref="F2:F3"/>
    <mergeCell ref="R2:R3"/>
    <mergeCell ref="S2:S3"/>
    <mergeCell ref="G2:G3"/>
    <mergeCell ref="B1:G1"/>
    <mergeCell ref="Q2:Q3"/>
    <mergeCell ref="L1:Q1"/>
    <mergeCell ref="I2:I3"/>
    <mergeCell ref="K2:K3"/>
    <mergeCell ref="L2:L3"/>
    <mergeCell ref="M2:M3"/>
    <mergeCell ref="N2:N3"/>
    <mergeCell ref="P2:P3"/>
    <mergeCell ref="H2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3E5F9AA6593439116F79CA10376F1" ma:contentTypeVersion="21" ma:contentTypeDescription="Create a new document." ma:contentTypeScope="" ma:versionID="aa81e6f34497b5dee97a50b007a245c4">
  <xsd:schema xmlns:xsd="http://www.w3.org/2001/XMLSchema" xmlns:xs="http://www.w3.org/2001/XMLSchema" xmlns:p="http://schemas.microsoft.com/office/2006/metadata/properties" xmlns:ns2="0d58e8a2-dff7-4492-a987-8cd66a35f019" xmlns:ns3="a7a5a0b0-47c5-4056-9505-4cb74804ae11" xmlns:ns4="fa6a9aea-fb0f-4ddd-aff8-712634b7d5fe" targetNamespace="http://schemas.microsoft.com/office/2006/metadata/properties" ma:root="true" ma:fieldsID="ce02d3080834df40a3c73274b843bea0" ns2:_="" ns3:_="" ns4:_="">
    <xsd:import namespace="0d58e8a2-dff7-4492-a987-8cd66a35f019"/>
    <xsd:import namespace="a7a5a0b0-47c5-4056-9505-4cb74804ae11"/>
    <xsd:import namespace="fa6a9aea-fb0f-4ddd-aff8-712634b7d5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2:DLV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8e8a2-dff7-4492-a987-8cd66a35f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LVStatus" ma:index="21" nillable="true" ma:displayName="DLV Status" ma:format="Dropdown" ma:internalName="DLVStatus">
      <xsd:simpleType>
        <xsd:restriction base="dms:Choice">
          <xsd:enumeration value="Old Draft"/>
          <xsd:enumeration value="Working Draft"/>
          <xsd:enumeration value="Submitted"/>
          <xsd:enumeration value="USAID Comments"/>
          <xsd:enumeration value="USAID Approved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5a0b0-47c5-4056-9505-4cb74804ae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a9aea-fb0f-4ddd-aff8-712634b7d5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cdfd5d-0bb3-4f95-b84e-d82436353bd1}" ma:internalName="TaxCatchAll" ma:showField="CatchAllData" ma:web="a7a5a0b0-47c5-4056-9505-4cb74804a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75F7B7-E849-4910-B92B-FD50A0447EC5}"/>
</file>

<file path=customXml/itemProps2.xml><?xml version="1.0" encoding="utf-8"?>
<ds:datastoreItem xmlns:ds="http://schemas.openxmlformats.org/officeDocument/2006/customXml" ds:itemID="{44A37863-06DD-4B7E-BE55-A6542121E9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P&amp;S on track</vt:lpstr>
      <vt:lpstr>Sheet2</vt:lpstr>
      <vt:lpstr>Sheet3</vt:lpstr>
      <vt:lpstr>Sheet4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Swindale, Anne J</dc:creator>
  <cp:lastModifiedBy>Swindale, Anne J</cp:lastModifiedBy>
  <dcterms:created xsi:type="dcterms:W3CDTF">2016-04-13T15:24:27Z</dcterms:created>
  <dcterms:modified xsi:type="dcterms:W3CDTF">2017-12-11T22:34:12Z</dcterms:modified>
</cp:coreProperties>
</file>